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593" activeTab="13"/>
  </bookViews>
  <sheets>
    <sheet name="01" sheetId="128" r:id="rId1"/>
    <sheet name="02" sheetId="139" r:id="rId2"/>
    <sheet name="03" sheetId="131" r:id="rId3"/>
    <sheet name=" 04 " sheetId="140" r:id="rId4"/>
    <sheet name="05 " sheetId="137" r:id="rId5"/>
    <sheet name="06" sheetId="119" r:id="rId6"/>
    <sheet name="07" sheetId="7" r:id="rId7"/>
    <sheet name="08" sheetId="120" r:id="rId8"/>
    <sheet name="09" sheetId="123" r:id="rId9"/>
    <sheet name="10" sheetId="133" r:id="rId10"/>
    <sheet name="12 " sheetId="138" r:id="rId11"/>
    <sheet name="11" sheetId="90" r:id="rId12"/>
    <sheet name="13" sheetId="124" r:id="rId13"/>
    <sheet name="14" sheetId="141" r:id="rId14"/>
  </sheets>
  <definedNames>
    <definedName name="_xlnm.Print_Titles" localSheetId="3">' 04 '!$6:$9</definedName>
    <definedName name="_xlnm.Print_Titles" localSheetId="0">'01'!$8:$10</definedName>
    <definedName name="_xlnm.Print_Titles" localSheetId="1">'02'!$8:$10</definedName>
    <definedName name="_xlnm.Print_Titles" localSheetId="2">'03'!$5:$7</definedName>
    <definedName name="_xlnm.Print_Titles" localSheetId="4">'05 '!$7:$9</definedName>
    <definedName name="_xlnm.Print_Titles" localSheetId="5">'06'!$6:$10</definedName>
    <definedName name="_xlnm.Print_Titles" localSheetId="6">'07'!$5:$7</definedName>
    <definedName name="_xlnm.Print_Titles" localSheetId="8">'09'!$8:$10</definedName>
    <definedName name="_xlnm.Print_Titles" localSheetId="11">'11'!$5:$9</definedName>
    <definedName name="_xlnm.Print_Titles" localSheetId="10">'12 '!$8:$10</definedName>
    <definedName name="_xlnm.Print_Titles" localSheetId="13">'14'!$5:$6</definedName>
    <definedName name="_xlnm.Print_Area" localSheetId="1">'02'!$A$1:$L$85</definedName>
    <definedName name="_xlnm.Print_Area" localSheetId="2">'03'!$A$1:$P$59</definedName>
    <definedName name="_xlnm.Print_Area" localSheetId="4">'05 '!$A$1:$L$79</definedName>
    <definedName name="_xlnm.Print_Area" localSheetId="10">'12 '!$A$1:$L$61</definedName>
  </definedNames>
  <calcPr calcId="125725"/>
</workbook>
</file>

<file path=xl/calcChain.xml><?xml version="1.0" encoding="utf-8"?>
<calcChain xmlns="http://schemas.openxmlformats.org/spreadsheetml/2006/main">
  <c r="F76" i="141"/>
  <c r="H74"/>
  <c r="H76" s="1"/>
  <c r="G74"/>
  <c r="G76" s="1"/>
  <c r="F74"/>
  <c r="H66"/>
  <c r="G66"/>
  <c r="G65" s="1"/>
  <c r="G73" s="1"/>
  <c r="F66"/>
  <c r="F65" s="1"/>
  <c r="F73" s="1"/>
  <c r="H65"/>
  <c r="H63"/>
  <c r="H73" s="1"/>
  <c r="G63"/>
  <c r="F63"/>
  <c r="H61"/>
  <c r="G61"/>
  <c r="F61"/>
  <c r="G58"/>
  <c r="H58" s="1"/>
  <c r="F58"/>
  <c r="H54"/>
  <c r="H53" s="1"/>
  <c r="G54"/>
  <c r="F54"/>
  <c r="G53"/>
  <c r="G57" s="1"/>
  <c r="F53"/>
  <c r="F57" s="1"/>
  <c r="H48"/>
  <c r="H45" s="1"/>
  <c r="G48"/>
  <c r="F48"/>
  <c r="H46"/>
  <c r="H13" s="1"/>
  <c r="G46"/>
  <c r="G13" s="1"/>
  <c r="F46"/>
  <c r="G45"/>
  <c r="F45"/>
  <c r="H43"/>
  <c r="G43"/>
  <c r="G42" s="1"/>
  <c r="F43"/>
  <c r="F42" s="1"/>
  <c r="H42"/>
  <c r="H39"/>
  <c r="H35" s="1"/>
  <c r="G39"/>
  <c r="G35" s="1"/>
  <c r="F39"/>
  <c r="H36"/>
  <c r="H10" s="1"/>
  <c r="G36"/>
  <c r="G10" s="1"/>
  <c r="F36"/>
  <c r="F35"/>
  <c r="H33"/>
  <c r="G33"/>
  <c r="F33"/>
  <c r="H24"/>
  <c r="H22" s="1"/>
  <c r="G24"/>
  <c r="G9" s="1"/>
  <c r="F24"/>
  <c r="G22"/>
  <c r="F22"/>
  <c r="H20"/>
  <c r="G20"/>
  <c r="G18" s="1"/>
  <c r="F20"/>
  <c r="F18" s="1"/>
  <c r="H18"/>
  <c r="H17"/>
  <c r="H15"/>
  <c r="H52" s="1"/>
  <c r="G15"/>
  <c r="F15"/>
  <c r="G14"/>
  <c r="F14"/>
  <c r="F13"/>
  <c r="H11"/>
  <c r="F10"/>
  <c r="G30" i="140"/>
  <c r="H30" s="1"/>
  <c r="G35"/>
  <c r="H35" s="1"/>
  <c r="I34"/>
  <c r="H34"/>
  <c r="I33"/>
  <c r="H33"/>
  <c r="I32"/>
  <c r="H32"/>
  <c r="I31"/>
  <c r="H31"/>
  <c r="L30"/>
  <c r="K30"/>
  <c r="F30"/>
  <c r="I29"/>
  <c r="H29"/>
  <c r="I28"/>
  <c r="H28"/>
  <c r="L27"/>
  <c r="K27"/>
  <c r="G27"/>
  <c r="H27" s="1"/>
  <c r="F27"/>
  <c r="I26"/>
  <c r="H26"/>
  <c r="I25"/>
  <c r="H25"/>
  <c r="I24"/>
  <c r="H24"/>
  <c r="I23"/>
  <c r="H23"/>
  <c r="I22"/>
  <c r="I20" s="1"/>
  <c r="H22"/>
  <c r="I21"/>
  <c r="H21"/>
  <c r="L20"/>
  <c r="K20"/>
  <c r="G20"/>
  <c r="G17" s="1"/>
  <c r="F20"/>
  <c r="I19"/>
  <c r="H19"/>
  <c r="L18"/>
  <c r="K18"/>
  <c r="K17" s="1"/>
  <c r="G18"/>
  <c r="F18"/>
  <c r="L17"/>
  <c r="I16"/>
  <c r="H16"/>
  <c r="I15"/>
  <c r="H15"/>
  <c r="I14"/>
  <c r="H14"/>
  <c r="I13"/>
  <c r="H13"/>
  <c r="L12"/>
  <c r="K12"/>
  <c r="K11" s="1"/>
  <c r="G12"/>
  <c r="H12" s="1"/>
  <c r="F12"/>
  <c r="L11"/>
  <c r="H57" i="141" l="1"/>
  <c r="H12"/>
  <c r="G11"/>
  <c r="G17"/>
  <c r="F17"/>
  <c r="F52" s="1"/>
  <c r="F77" s="1"/>
  <c r="F11"/>
  <c r="G52"/>
  <c r="G77" s="1"/>
  <c r="H77"/>
  <c r="H9"/>
  <c r="G12"/>
  <c r="G8" s="1"/>
  <c r="F12"/>
  <c r="H14"/>
  <c r="F9"/>
  <c r="F8" s="1"/>
  <c r="I12" i="140"/>
  <c r="L10"/>
  <c r="H20"/>
  <c r="H18"/>
  <c r="I35"/>
  <c r="G11"/>
  <c r="F17"/>
  <c r="H17" s="1"/>
  <c r="I27"/>
  <c r="I30"/>
  <c r="K10"/>
  <c r="I18"/>
  <c r="F11"/>
  <c r="G10"/>
  <c r="H8" i="141" l="1"/>
  <c r="I17" i="140"/>
  <c r="H11"/>
  <c r="F10"/>
  <c r="I10" s="1"/>
  <c r="I11"/>
  <c r="H10" l="1"/>
  <c r="G51" i="131" l="1"/>
  <c r="F82" i="139" l="1"/>
  <c r="F81" s="1"/>
  <c r="H81"/>
  <c r="H76" s="1"/>
  <c r="G81"/>
  <c r="H79"/>
  <c r="G79"/>
  <c r="G76" s="1"/>
  <c r="F79"/>
  <c r="H77"/>
  <c r="G77"/>
  <c r="F77"/>
  <c r="H73"/>
  <c r="G73"/>
  <c r="F73"/>
  <c r="H70"/>
  <c r="G70"/>
  <c r="G69" s="1"/>
  <c r="G68" s="1"/>
  <c r="F70"/>
  <c r="F69"/>
  <c r="F68" s="1"/>
  <c r="H66"/>
  <c r="G66"/>
  <c r="F66"/>
  <c r="H62"/>
  <c r="H59" s="1"/>
  <c r="G62"/>
  <c r="G59" s="1"/>
  <c r="G58" s="1"/>
  <c r="F62"/>
  <c r="F59" s="1"/>
  <c r="F58" s="1"/>
  <c r="H56"/>
  <c r="G56"/>
  <c r="F56"/>
  <c r="H53"/>
  <c r="H54" s="1"/>
  <c r="H51" s="1"/>
  <c r="H50" s="1"/>
  <c r="G53"/>
  <c r="G54" s="1"/>
  <c r="G51" s="1"/>
  <c r="G50" s="1"/>
  <c r="F53"/>
  <c r="F54" s="1"/>
  <c r="F51" s="1"/>
  <c r="F50" s="1"/>
  <c r="H48"/>
  <c r="G48"/>
  <c r="F48"/>
  <c r="H46"/>
  <c r="G46"/>
  <c r="F46"/>
  <c r="H44"/>
  <c r="H45" s="1"/>
  <c r="H43" s="1"/>
  <c r="H42" s="1"/>
  <c r="G44"/>
  <c r="G45" s="1"/>
  <c r="G43" s="1"/>
  <c r="F44"/>
  <c r="F45" s="1"/>
  <c r="F43" s="1"/>
  <c r="H40"/>
  <c r="H39" s="1"/>
  <c r="H38" s="1"/>
  <c r="H37" s="1"/>
  <c r="G38"/>
  <c r="G37" s="1"/>
  <c r="F38"/>
  <c r="F37"/>
  <c r="F36"/>
  <c r="F34" s="1"/>
  <c r="H34"/>
  <c r="G34"/>
  <c r="H33"/>
  <c r="H26" s="1"/>
  <c r="H25" s="1"/>
  <c r="G33"/>
  <c r="F33"/>
  <c r="G30"/>
  <c r="F30"/>
  <c r="H28"/>
  <c r="G28"/>
  <c r="F28"/>
  <c r="H22"/>
  <c r="G22"/>
  <c r="F22"/>
  <c r="H21"/>
  <c r="G21"/>
  <c r="F21"/>
  <c r="H20"/>
  <c r="H19" s="1"/>
  <c r="G20"/>
  <c r="F20"/>
  <c r="H16"/>
  <c r="G16"/>
  <c r="F16"/>
  <c r="F26" l="1"/>
  <c r="F25" s="1"/>
  <c r="H14"/>
  <c r="H13" s="1"/>
  <c r="G26"/>
  <c r="G25" s="1"/>
  <c r="H30"/>
  <c r="F42"/>
  <c r="H58"/>
  <c r="F76"/>
  <c r="H69"/>
  <c r="H68" s="1"/>
  <c r="F19"/>
  <c r="F14" s="1"/>
  <c r="F13" s="1"/>
  <c r="F12" s="1"/>
  <c r="G19"/>
  <c r="G14" s="1"/>
  <c r="G13" s="1"/>
  <c r="G42"/>
  <c r="G12"/>
  <c r="H12" l="1"/>
  <c r="H59" i="138"/>
  <c r="G59"/>
  <c r="F59"/>
  <c r="F58" s="1"/>
  <c r="H58"/>
  <c r="G58"/>
  <c r="H55"/>
  <c r="G55"/>
  <c r="G46" s="1"/>
  <c r="F55"/>
  <c r="H47"/>
  <c r="G47"/>
  <c r="F47"/>
  <c r="F46" s="1"/>
  <c r="H46"/>
  <c r="H44"/>
  <c r="G44"/>
  <c r="F44"/>
  <c r="H40"/>
  <c r="G40"/>
  <c r="F40"/>
  <c r="H37"/>
  <c r="G37"/>
  <c r="F37"/>
  <c r="H28"/>
  <c r="H27" s="1"/>
  <c r="G28"/>
  <c r="F28"/>
  <c r="H25"/>
  <c r="G25"/>
  <c r="F25"/>
  <c r="H23"/>
  <c r="G23"/>
  <c r="F23"/>
  <c r="F13" s="1"/>
  <c r="H21"/>
  <c r="G21"/>
  <c r="F21"/>
  <c r="H14"/>
  <c r="H13" s="1"/>
  <c r="G14"/>
  <c r="G13" s="1"/>
  <c r="F14"/>
  <c r="M79" i="123"/>
  <c r="N79"/>
  <c r="L79"/>
  <c r="H77" i="137"/>
  <c r="H76" s="1"/>
  <c r="G77"/>
  <c r="G76" s="1"/>
  <c r="F77"/>
  <c r="F76"/>
  <c r="H72"/>
  <c r="G72"/>
  <c r="F72"/>
  <c r="H68"/>
  <c r="G68"/>
  <c r="F68"/>
  <c r="H66"/>
  <c r="G66"/>
  <c r="F66"/>
  <c r="H62"/>
  <c r="G62"/>
  <c r="F62"/>
  <c r="F42" s="1"/>
  <c r="H58"/>
  <c r="G58"/>
  <c r="F58"/>
  <c r="H53"/>
  <c r="H42" s="1"/>
  <c r="G53"/>
  <c r="F53"/>
  <c r="H43"/>
  <c r="G43"/>
  <c r="G42" s="1"/>
  <c r="F43"/>
  <c r="H40"/>
  <c r="G40"/>
  <c r="F40"/>
  <c r="G38"/>
  <c r="G36" s="1"/>
  <c r="G35" s="1"/>
  <c r="H36"/>
  <c r="F36"/>
  <c r="H35"/>
  <c r="F35"/>
  <c r="H32"/>
  <c r="G32"/>
  <c r="G28" s="1"/>
  <c r="F32"/>
  <c r="F28" s="1"/>
  <c r="H28"/>
  <c r="F25"/>
  <c r="H19"/>
  <c r="G19"/>
  <c r="F19"/>
  <c r="F17"/>
  <c r="H15"/>
  <c r="H13" s="1"/>
  <c r="H12" s="1"/>
  <c r="H11" s="1"/>
  <c r="G15"/>
  <c r="F15"/>
  <c r="G13"/>
  <c r="M42" i="123"/>
  <c r="N42"/>
  <c r="L42"/>
  <c r="F72" i="120"/>
  <c r="G56"/>
  <c r="H56"/>
  <c r="G52"/>
  <c r="H52"/>
  <c r="F52"/>
  <c r="F27" i="138" l="1"/>
  <c r="F61" s="1"/>
  <c r="F63" s="1"/>
  <c r="F13" i="137"/>
  <c r="F12" s="1"/>
  <c r="F11" s="1"/>
  <c r="G27" i="138"/>
  <c r="G61" s="1"/>
  <c r="G63" s="1"/>
  <c r="H61"/>
  <c r="H63" s="1"/>
  <c r="H12"/>
  <c r="F12"/>
  <c r="G12" i="137"/>
  <c r="G11" s="1"/>
  <c r="F56" i="120"/>
  <c r="F48"/>
  <c r="I77" i="7"/>
  <c r="H77"/>
  <c r="H9"/>
  <c r="I9"/>
  <c r="G9"/>
  <c r="J90" i="124"/>
  <c r="K18"/>
  <c r="J91"/>
  <c r="K91"/>
  <c r="L91"/>
  <c r="I92"/>
  <c r="J92"/>
  <c r="K92"/>
  <c r="L92"/>
  <c r="I93"/>
  <c r="J93"/>
  <c r="K93"/>
  <c r="L93"/>
  <c r="G93"/>
  <c r="G92"/>
  <c r="G91"/>
  <c r="I22"/>
  <c r="I18" s="1"/>
  <c r="J22"/>
  <c r="J18" s="1"/>
  <c r="K22"/>
  <c r="L22"/>
  <c r="L18" s="1"/>
  <c r="G22"/>
  <c r="G18" s="1"/>
  <c r="I74" i="7"/>
  <c r="I72"/>
  <c r="I53"/>
  <c r="I23" s="1"/>
  <c r="I19"/>
  <c r="G12" i="138" l="1"/>
  <c r="H36" i="133" l="1"/>
  <c r="G36"/>
  <c r="H34"/>
  <c r="H33" s="1"/>
  <c r="H32" s="1"/>
  <c r="G34"/>
  <c r="G33"/>
  <c r="G32" s="1"/>
  <c r="H30"/>
  <c r="H29" s="1"/>
  <c r="H28" s="1"/>
  <c r="G30"/>
  <c r="G29" s="1"/>
  <c r="G28" s="1"/>
  <c r="F30"/>
  <c r="F29" s="1"/>
  <c r="F28" s="1"/>
  <c r="H26"/>
  <c r="G26"/>
  <c r="G16" s="1"/>
  <c r="F26"/>
  <c r="H17"/>
  <c r="H16" s="1"/>
  <c r="G17"/>
  <c r="F17"/>
  <c r="F16" s="1"/>
  <c r="H15"/>
  <c r="G15"/>
  <c r="F15"/>
  <c r="H14"/>
  <c r="G14"/>
  <c r="F14"/>
  <c r="H13"/>
  <c r="G13"/>
  <c r="F13"/>
  <c r="H12"/>
  <c r="G12"/>
  <c r="F12"/>
  <c r="H11"/>
  <c r="G11"/>
  <c r="F11"/>
  <c r="H10"/>
  <c r="G10"/>
  <c r="F10"/>
  <c r="H9"/>
  <c r="H7" s="1"/>
  <c r="G9"/>
  <c r="F9"/>
  <c r="H8"/>
  <c r="G8"/>
  <c r="G7" s="1"/>
  <c r="F8"/>
  <c r="F7" s="1"/>
  <c r="I59" i="131"/>
  <c r="H59"/>
  <c r="L58"/>
  <c r="K58"/>
  <c r="I58"/>
  <c r="H58"/>
  <c r="G58"/>
  <c r="F58"/>
  <c r="L57"/>
  <c r="K57"/>
  <c r="G57"/>
  <c r="H57" s="1"/>
  <c r="F57"/>
  <c r="I54"/>
  <c r="H54"/>
  <c r="L53"/>
  <c r="K53"/>
  <c r="G53"/>
  <c r="H53" s="1"/>
  <c r="F53"/>
  <c r="I50"/>
  <c r="H50"/>
  <c r="I49"/>
  <c r="H49"/>
  <c r="G49"/>
  <c r="I48"/>
  <c r="H48"/>
  <c r="I47"/>
  <c r="H47"/>
  <c r="I46"/>
  <c r="H46"/>
  <c r="H45" s="1"/>
  <c r="H44" s="1"/>
  <c r="L45"/>
  <c r="L44" s="1"/>
  <c r="K45"/>
  <c r="G45"/>
  <c r="F45"/>
  <c r="F44" s="1"/>
  <c r="K44"/>
  <c r="I43"/>
  <c r="H43"/>
  <c r="G42"/>
  <c r="F42"/>
  <c r="H42" s="1"/>
  <c r="I41"/>
  <c r="H41"/>
  <c r="I40"/>
  <c r="H40"/>
  <c r="I38"/>
  <c r="H38"/>
  <c r="I37"/>
  <c r="H37"/>
  <c r="L36"/>
  <c r="L35" s="1"/>
  <c r="K36"/>
  <c r="K35" s="1"/>
  <c r="G36"/>
  <c r="F36"/>
  <c r="H36" s="1"/>
  <c r="G35"/>
  <c r="I33"/>
  <c r="H33"/>
  <c r="L32"/>
  <c r="K32"/>
  <c r="G32"/>
  <c r="I32" s="1"/>
  <c r="F32"/>
  <c r="I31"/>
  <c r="H31"/>
  <c r="I30"/>
  <c r="H30"/>
  <c r="H28" s="1"/>
  <c r="I29"/>
  <c r="H29"/>
  <c r="L28"/>
  <c r="L27" s="1"/>
  <c r="K28"/>
  <c r="K27" s="1"/>
  <c r="G28"/>
  <c r="F28"/>
  <c r="F27" s="1"/>
  <c r="I26"/>
  <c r="H26"/>
  <c r="L25"/>
  <c r="K25"/>
  <c r="K24" s="1"/>
  <c r="G25"/>
  <c r="G24" s="1"/>
  <c r="F25"/>
  <c r="H25" s="1"/>
  <c r="L24"/>
  <c r="I23"/>
  <c r="H23"/>
  <c r="L22"/>
  <c r="K22"/>
  <c r="G22"/>
  <c r="I22" s="1"/>
  <c r="I19"/>
  <c r="H19"/>
  <c r="I18"/>
  <c r="H18"/>
  <c r="I17"/>
  <c r="H17"/>
  <c r="L16"/>
  <c r="K16"/>
  <c r="K11" s="1"/>
  <c r="K10" s="1"/>
  <c r="K9" s="1"/>
  <c r="G16"/>
  <c r="H16" s="1"/>
  <c r="F16"/>
  <c r="I15"/>
  <c r="H15"/>
  <c r="I13"/>
  <c r="H13"/>
  <c r="I12"/>
  <c r="H12"/>
  <c r="L11"/>
  <c r="L10" s="1"/>
  <c r="G11"/>
  <c r="F11"/>
  <c r="F10" s="1"/>
  <c r="H11" l="1"/>
  <c r="H22"/>
  <c r="I28"/>
  <c r="H32"/>
  <c r="I42"/>
  <c r="I45"/>
  <c r="G44"/>
  <c r="L9"/>
  <c r="H10"/>
  <c r="I25"/>
  <c r="I36"/>
  <c r="G10"/>
  <c r="I11"/>
  <c r="I16"/>
  <c r="F24"/>
  <c r="H24" s="1"/>
  <c r="F35"/>
  <c r="H35" s="1"/>
  <c r="I53"/>
  <c r="I57"/>
  <c r="G27"/>
  <c r="I44"/>
  <c r="F9" l="1"/>
  <c r="H27"/>
  <c r="H9" s="1"/>
  <c r="I27"/>
  <c r="I10"/>
  <c r="G9"/>
  <c r="I9" s="1"/>
  <c r="I24"/>
  <c r="I35"/>
  <c r="H23" i="128" l="1"/>
  <c r="G23"/>
  <c r="F23"/>
  <c r="F20"/>
  <c r="F19"/>
  <c r="F14"/>
  <c r="F13" s="1"/>
  <c r="F12" s="1"/>
  <c r="R80" i="123"/>
  <c r="M25"/>
  <c r="N25"/>
  <c r="L25"/>
  <c r="G72" i="120"/>
  <c r="H72"/>
  <c r="H68"/>
  <c r="H67" s="1"/>
  <c r="G68"/>
  <c r="G67" s="1"/>
  <c r="F68"/>
  <c r="F67" s="1"/>
  <c r="H59"/>
  <c r="G59"/>
  <c r="F59"/>
  <c r="F58" s="1"/>
  <c r="H44"/>
  <c r="H43" s="1"/>
  <c r="H42" s="1"/>
  <c r="G44"/>
  <c r="G43" s="1"/>
  <c r="G42" s="1"/>
  <c r="F44"/>
  <c r="F43" s="1"/>
  <c r="F42" s="1"/>
  <c r="H38"/>
  <c r="G38"/>
  <c r="F38"/>
  <c r="H29"/>
  <c r="G29"/>
  <c r="G28" s="1"/>
  <c r="F29"/>
  <c r="F28" s="1"/>
  <c r="H25"/>
  <c r="H17" s="1"/>
  <c r="G25"/>
  <c r="F25"/>
  <c r="H18"/>
  <c r="G18"/>
  <c r="G17" s="1"/>
  <c r="F18"/>
  <c r="H11"/>
  <c r="H10" s="1"/>
  <c r="G11"/>
  <c r="G10" s="1"/>
  <c r="F11"/>
  <c r="F10"/>
  <c r="L55" i="123"/>
  <c r="L54"/>
  <c r="L53"/>
  <c r="L52"/>
  <c r="L51"/>
  <c r="L50"/>
  <c r="G9" i="120" l="1"/>
  <c r="G58"/>
  <c r="H28"/>
  <c r="H58"/>
  <c r="H9" s="1"/>
  <c r="F17"/>
  <c r="Q81" i="123"/>
  <c r="Q80" s="1"/>
  <c r="P81"/>
  <c r="P80" s="1"/>
  <c r="O81"/>
  <c r="O80" s="1"/>
  <c r="K80"/>
  <c r="K79" s="1"/>
  <c r="J80"/>
  <c r="J79" s="1"/>
  <c r="I80"/>
  <c r="I79" s="1"/>
  <c r="H80"/>
  <c r="G80"/>
  <c r="G79" s="1"/>
  <c r="F80"/>
  <c r="H79"/>
  <c r="F79"/>
  <c r="N76"/>
  <c r="M76"/>
  <c r="L76"/>
  <c r="L74"/>
  <c r="N73"/>
  <c r="M73"/>
  <c r="M72" s="1"/>
  <c r="K73"/>
  <c r="K72" s="1"/>
  <c r="J73"/>
  <c r="J72" s="1"/>
  <c r="I73"/>
  <c r="I72" s="1"/>
  <c r="R72"/>
  <c r="Q72"/>
  <c r="P72"/>
  <c r="N72"/>
  <c r="H72"/>
  <c r="G72"/>
  <c r="F72"/>
  <c r="L70"/>
  <c r="O70" s="1"/>
  <c r="L69"/>
  <c r="O69" s="1"/>
  <c r="O68"/>
  <c r="L67"/>
  <c r="O67" s="1"/>
  <c r="N66"/>
  <c r="M66"/>
  <c r="K66"/>
  <c r="J66"/>
  <c r="I66"/>
  <c r="H66"/>
  <c r="G66"/>
  <c r="F66"/>
  <c r="N65"/>
  <c r="M65"/>
  <c r="K65"/>
  <c r="J65"/>
  <c r="I65"/>
  <c r="H65"/>
  <c r="G65"/>
  <c r="F65"/>
  <c r="P64"/>
  <c r="N64"/>
  <c r="O63"/>
  <c r="O62" s="1"/>
  <c r="M63"/>
  <c r="M62" s="1"/>
  <c r="P62"/>
  <c r="N62"/>
  <c r="N56" s="1"/>
  <c r="K62"/>
  <c r="K56" s="1"/>
  <c r="J62"/>
  <c r="O61"/>
  <c r="L60"/>
  <c r="I60"/>
  <c r="I56" s="1"/>
  <c r="L59"/>
  <c r="O59" s="1"/>
  <c r="Q58"/>
  <c r="O58"/>
  <c r="M58"/>
  <c r="P58" s="1"/>
  <c r="L58"/>
  <c r="Q57"/>
  <c r="P57"/>
  <c r="L57"/>
  <c r="O57" s="1"/>
  <c r="H56"/>
  <c r="G56"/>
  <c r="F56"/>
  <c r="Q55"/>
  <c r="P55"/>
  <c r="O55"/>
  <c r="Q54"/>
  <c r="P54"/>
  <c r="O54"/>
  <c r="Q53"/>
  <c r="P53"/>
  <c r="O53"/>
  <c r="Q52"/>
  <c r="P52"/>
  <c r="O52"/>
  <c r="Q51"/>
  <c r="P51"/>
  <c r="O51"/>
  <c r="Q50"/>
  <c r="P50"/>
  <c r="O50"/>
  <c r="N49"/>
  <c r="M49"/>
  <c r="P49" s="1"/>
  <c r="L49"/>
  <c r="I49"/>
  <c r="N48"/>
  <c r="N47" s="1"/>
  <c r="M48"/>
  <c r="M47" s="1"/>
  <c r="L48"/>
  <c r="L47" s="1"/>
  <c r="O47" s="1"/>
  <c r="K47"/>
  <c r="K45" s="1"/>
  <c r="J47"/>
  <c r="J45" s="1"/>
  <c r="I47"/>
  <c r="H47"/>
  <c r="H45" s="1"/>
  <c r="G47"/>
  <c r="G45" s="1"/>
  <c r="F47"/>
  <c r="F45" s="1"/>
  <c r="Q46"/>
  <c r="P46"/>
  <c r="L46"/>
  <c r="O46" s="1"/>
  <c r="I45"/>
  <c r="Q41"/>
  <c r="Q40" s="1"/>
  <c r="O41"/>
  <c r="O40" s="1"/>
  <c r="M41"/>
  <c r="P41" s="1"/>
  <c r="M40"/>
  <c r="P40" s="1"/>
  <c r="J40"/>
  <c r="Q39"/>
  <c r="P39"/>
  <c r="L39"/>
  <c r="O39" s="1"/>
  <c r="Q38"/>
  <c r="P38"/>
  <c r="L38"/>
  <c r="O38" s="1"/>
  <c r="Q37"/>
  <c r="P37"/>
  <c r="L37"/>
  <c r="O37" s="1"/>
  <c r="Q36"/>
  <c r="P36"/>
  <c r="O36"/>
  <c r="M35"/>
  <c r="L34"/>
  <c r="N33"/>
  <c r="N32"/>
  <c r="M32"/>
  <c r="M31" s="1"/>
  <c r="L32"/>
  <c r="L31" s="1"/>
  <c r="K31"/>
  <c r="K29" s="1"/>
  <c r="J31"/>
  <c r="I31"/>
  <c r="I29" s="1"/>
  <c r="H31"/>
  <c r="H29" s="1"/>
  <c r="G31"/>
  <c r="G29" s="1"/>
  <c r="G28" s="1"/>
  <c r="F31"/>
  <c r="F29" s="1"/>
  <c r="L24"/>
  <c r="L23"/>
  <c r="Q22"/>
  <c r="P22"/>
  <c r="L22"/>
  <c r="O22" s="1"/>
  <c r="L21"/>
  <c r="O21" s="1"/>
  <c r="Q20"/>
  <c r="P20"/>
  <c r="O20"/>
  <c r="N19"/>
  <c r="Q19" s="1"/>
  <c r="M19"/>
  <c r="P19" s="1"/>
  <c r="L19"/>
  <c r="L18" s="1"/>
  <c r="O18" s="1"/>
  <c r="N18"/>
  <c r="Q18" s="1"/>
  <c r="K18"/>
  <c r="K13" s="1"/>
  <c r="K12" s="1"/>
  <c r="J18"/>
  <c r="I18"/>
  <c r="Q17"/>
  <c r="P17"/>
  <c r="L17"/>
  <c r="O17" s="1"/>
  <c r="Q16"/>
  <c r="P16"/>
  <c r="L16"/>
  <c r="O16" s="1"/>
  <c r="Q14"/>
  <c r="P14"/>
  <c r="O14"/>
  <c r="J13"/>
  <c r="I13"/>
  <c r="I12" s="1"/>
  <c r="H13"/>
  <c r="H12" s="1"/>
  <c r="G13"/>
  <c r="G12" s="1"/>
  <c r="F13"/>
  <c r="F12" s="1"/>
  <c r="J12"/>
  <c r="R11"/>
  <c r="K28" l="1"/>
  <c r="K11" s="1"/>
  <c r="H28"/>
  <c r="H11" s="1"/>
  <c r="L29"/>
  <c r="O74"/>
  <c r="L73"/>
  <c r="N13"/>
  <c r="N31"/>
  <c r="I28"/>
  <c r="M29"/>
  <c r="M28" s="1"/>
  <c r="P28" s="1"/>
  <c r="J56"/>
  <c r="P47"/>
  <c r="M45"/>
  <c r="P45" s="1"/>
  <c r="M18"/>
  <c r="M56"/>
  <c r="P56" s="1"/>
  <c r="G11"/>
  <c r="F28"/>
  <c r="F11" s="1"/>
  <c r="P29"/>
  <c r="O29"/>
  <c r="N29"/>
  <c r="Q29" s="1"/>
  <c r="J29"/>
  <c r="J28" s="1"/>
  <c r="Q13"/>
  <c r="N12"/>
  <c r="Q12" s="1"/>
  <c r="L13"/>
  <c r="L12" s="1"/>
  <c r="L45"/>
  <c r="O45" s="1"/>
  <c r="Q56"/>
  <c r="Q79"/>
  <c r="J11"/>
  <c r="I11"/>
  <c r="P79"/>
  <c r="O79"/>
  <c r="Q47"/>
  <c r="N45"/>
  <c r="Q45" s="1"/>
  <c r="O60"/>
  <c r="L56"/>
  <c r="O19"/>
  <c r="L65"/>
  <c r="O65" s="1"/>
  <c r="L66"/>
  <c r="N28" l="1"/>
  <c r="Q28" s="1"/>
  <c r="Q11" s="1"/>
  <c r="P18"/>
  <c r="M13"/>
  <c r="O73"/>
  <c r="O72" s="1"/>
  <c r="L72"/>
  <c r="N11"/>
  <c r="O13"/>
  <c r="O56"/>
  <c r="L28"/>
  <c r="O28" s="1"/>
  <c r="P13" l="1"/>
  <c r="M12"/>
  <c r="O12"/>
  <c r="O11" s="1"/>
  <c r="L11"/>
  <c r="P12" l="1"/>
  <c r="P11" s="1"/>
  <c r="M11"/>
  <c r="H50" i="124"/>
  <c r="H26"/>
  <c r="H89"/>
  <c r="H88"/>
  <c r="H87"/>
  <c r="H86"/>
  <c r="H85"/>
  <c r="H84"/>
  <c r="H83"/>
  <c r="H82"/>
  <c r="H81"/>
  <c r="H80"/>
  <c r="H79"/>
  <c r="H78"/>
  <c r="H77"/>
  <c r="H76"/>
  <c r="H75"/>
  <c r="H74"/>
  <c r="H73"/>
  <c r="H72"/>
  <c r="H71"/>
  <c r="H70"/>
  <c r="H69"/>
  <c r="H68"/>
  <c r="H67"/>
  <c r="H66"/>
  <c r="H65"/>
  <c r="H64"/>
  <c r="H63"/>
  <c r="H62"/>
  <c r="H61"/>
  <c r="H60"/>
  <c r="H59"/>
  <c r="H58"/>
  <c r="H57"/>
  <c r="H56"/>
  <c r="H55"/>
  <c r="H54"/>
  <c r="H53"/>
  <c r="H52"/>
  <c r="H51"/>
  <c r="H49"/>
  <c r="H48"/>
  <c r="H47"/>
  <c r="H46"/>
  <c r="H45"/>
  <c r="H44"/>
  <c r="H43"/>
  <c r="H42"/>
  <c r="H41"/>
  <c r="H40"/>
  <c r="H39"/>
  <c r="H38"/>
  <c r="H37"/>
  <c r="H36"/>
  <c r="H35"/>
  <c r="H34"/>
  <c r="H33"/>
  <c r="H32"/>
  <c r="H31"/>
  <c r="H30"/>
  <c r="H29"/>
  <c r="H28"/>
  <c r="H27"/>
  <c r="H25"/>
  <c r="H24"/>
  <c r="H22" s="1"/>
  <c r="H18" s="1"/>
  <c r="L21"/>
  <c r="K21"/>
  <c r="L20"/>
  <c r="K20"/>
  <c r="H20"/>
  <c r="L19"/>
  <c r="L17" s="1"/>
  <c r="K19"/>
  <c r="K17" s="1"/>
  <c r="H19"/>
  <c r="H16"/>
  <c r="H93" s="1"/>
  <c r="H15"/>
  <c r="H92" s="1"/>
  <c r="I14"/>
  <c r="I91" s="1"/>
  <c r="H14"/>
  <c r="H91" s="1"/>
  <c r="L13"/>
  <c r="L12" s="1"/>
  <c r="K13"/>
  <c r="K12" s="1"/>
  <c r="G13"/>
  <c r="F13"/>
  <c r="L11"/>
  <c r="L10" s="1"/>
  <c r="L90" s="1"/>
  <c r="K11"/>
  <c r="K10" s="1"/>
  <c r="G11"/>
  <c r="H11" s="1"/>
  <c r="K90" l="1"/>
  <c r="I13"/>
  <c r="G12"/>
  <c r="H13"/>
  <c r="G10"/>
  <c r="I11"/>
  <c r="G17"/>
  <c r="H17" s="1"/>
  <c r="H21"/>
  <c r="I10" l="1"/>
  <c r="I90" s="1"/>
  <c r="G90"/>
  <c r="H10"/>
  <c r="H90" s="1"/>
  <c r="H38" i="90"/>
  <c r="G38"/>
  <c r="G21"/>
  <c r="H79" i="7" l="1"/>
  <c r="H78" s="1"/>
  <c r="I79"/>
  <c r="I78" s="1"/>
  <c r="G79"/>
  <c r="G78" s="1"/>
  <c r="G77"/>
  <c r="H76" l="1"/>
  <c r="I76"/>
  <c r="I67" s="1"/>
  <c r="I8" s="1"/>
  <c r="I85" s="1"/>
  <c r="G76"/>
  <c r="G67" s="1"/>
  <c r="H75"/>
  <c r="H74" s="1"/>
  <c r="H73"/>
  <c r="H72" s="1"/>
  <c r="G66"/>
  <c r="G65"/>
  <c r="G64"/>
  <c r="G63"/>
  <c r="G62"/>
  <c r="G61" s="1"/>
  <c r="H60"/>
  <c r="H59"/>
  <c r="G58"/>
  <c r="G57" s="1"/>
  <c r="G55"/>
  <c r="G54"/>
  <c r="G52"/>
  <c r="G51"/>
  <c r="G50"/>
  <c r="G49"/>
  <c r="G47"/>
  <c r="G46" s="1"/>
  <c r="F45" i="90"/>
  <c r="F44" s="1"/>
  <c r="H42"/>
  <c r="H41" s="1"/>
  <c r="G42"/>
  <c r="G41" s="1"/>
  <c r="F42"/>
  <c r="F41" s="1"/>
  <c r="H36"/>
  <c r="G36"/>
  <c r="F36"/>
  <c r="H32"/>
  <c r="G32"/>
  <c r="F32"/>
  <c r="H28"/>
  <c r="H27" s="1"/>
  <c r="G28"/>
  <c r="G27" s="1"/>
  <c r="G26" s="1"/>
  <c r="F28"/>
  <c r="F27" s="1"/>
  <c r="H21"/>
  <c r="F21"/>
  <c r="H18"/>
  <c r="G18"/>
  <c r="F18"/>
  <c r="H14"/>
  <c r="G14"/>
  <c r="F14"/>
  <c r="G53" i="7" l="1"/>
  <c r="H57"/>
  <c r="H23" s="1"/>
  <c r="G48"/>
  <c r="H67"/>
  <c r="G13" i="90"/>
  <c r="G12" s="1"/>
  <c r="H26"/>
  <c r="F13"/>
  <c r="F26"/>
  <c r="H13"/>
  <c r="H8" i="7" l="1"/>
  <c r="H85" s="1"/>
  <c r="G23"/>
  <c r="G8" s="1"/>
  <c r="G85" s="1"/>
  <c r="H12" i="90"/>
  <c r="F12"/>
  <c r="M78" i="7"/>
  <c r="L78"/>
  <c r="K78"/>
  <c r="M76"/>
  <c r="L76"/>
  <c r="K76"/>
  <c r="M74"/>
  <c r="L74"/>
  <c r="K74"/>
  <c r="L72"/>
  <c r="K61"/>
  <c r="L57"/>
  <c r="L23" s="1"/>
  <c r="K57"/>
  <c r="K53"/>
  <c r="K48"/>
  <c r="K46"/>
  <c r="M23"/>
  <c r="K23" l="1"/>
  <c r="H28" i="119"/>
  <c r="H27" s="1"/>
  <c r="L27"/>
  <c r="K27"/>
  <c r="G27"/>
  <c r="F27"/>
  <c r="F26" s="1"/>
  <c r="L26"/>
  <c r="K26"/>
  <c r="G26"/>
  <c r="I25"/>
  <c r="H25"/>
  <c r="I24"/>
  <c r="H24"/>
  <c r="I23"/>
  <c r="H23"/>
  <c r="L22"/>
  <c r="K22"/>
  <c r="G22"/>
  <c r="F22"/>
  <c r="I21"/>
  <c r="H21"/>
  <c r="I20"/>
  <c r="H20"/>
  <c r="G19"/>
  <c r="F19"/>
  <c r="I19" s="1"/>
  <c r="I18"/>
  <c r="H18"/>
  <c r="I17"/>
  <c r="H17"/>
  <c r="I15"/>
  <c r="H15"/>
  <c r="I14"/>
  <c r="H14"/>
  <c r="L12"/>
  <c r="L11" s="1"/>
  <c r="K12"/>
  <c r="K11" s="1"/>
  <c r="K10" s="1"/>
  <c r="G12"/>
  <c r="F12"/>
  <c r="H12" l="1"/>
  <c r="H19"/>
  <c r="I12"/>
  <c r="I22"/>
  <c r="L10"/>
  <c r="F11"/>
  <c r="F10" s="1"/>
  <c r="H22"/>
  <c r="H26"/>
  <c r="G11"/>
  <c r="H11" l="1"/>
  <c r="H10" s="1"/>
  <c r="I11"/>
  <c r="G10"/>
  <c r="I10" s="1"/>
</calcChain>
</file>

<file path=xl/sharedStrings.xml><?xml version="1.0" encoding="utf-8"?>
<sst xmlns="http://schemas.openxmlformats.org/spreadsheetml/2006/main" count="3192" uniqueCount="1695">
  <si>
    <t>Код бюджетной классификации</t>
  </si>
  <si>
    <t>Наименование целевого показателя</t>
  </si>
  <si>
    <t>Значение целевого показателя</t>
  </si>
  <si>
    <t>ГРБС</t>
  </si>
  <si>
    <t>РзПр</t>
  </si>
  <si>
    <t>ЦСР</t>
  </si>
  <si>
    <t>Изм-я (+;-)</t>
  </si>
  <si>
    <t>000</t>
  </si>
  <si>
    <t>0000</t>
  </si>
  <si>
    <t>902</t>
  </si>
  <si>
    <t>0113</t>
  </si>
  <si>
    <t>0702</t>
  </si>
  <si>
    <t>0309</t>
  </si>
  <si>
    <t>0701</t>
  </si>
  <si>
    <t>0314</t>
  </si>
  <si>
    <t>Финансовое обеспечение реализации муниципальной программы</t>
  </si>
  <si>
    <t>№ п/п</t>
  </si>
  <si>
    <t>Причины отклонений</t>
  </si>
  <si>
    <t>1.1.</t>
  </si>
  <si>
    <t>3</t>
  </si>
  <si>
    <t>0502</t>
  </si>
  <si>
    <t>4</t>
  </si>
  <si>
    <t>0804</t>
  </si>
  <si>
    <t>915</t>
  </si>
  <si>
    <t>1.2.</t>
  </si>
  <si>
    <t>0707</t>
  </si>
  <si>
    <t>2.1.</t>
  </si>
  <si>
    <t>0801</t>
  </si>
  <si>
    <t>3.1.</t>
  </si>
  <si>
    <t>3.2.</t>
  </si>
  <si>
    <t>1003</t>
  </si>
  <si>
    <t>4.1.</t>
  </si>
  <si>
    <t>4.2.</t>
  </si>
  <si>
    <t>5.1.</t>
  </si>
  <si>
    <t>6.1.</t>
  </si>
  <si>
    <t>7.1.</t>
  </si>
  <si>
    <t>5</t>
  </si>
  <si>
    <t>0701,0702,1003</t>
  </si>
  <si>
    <t>2</t>
  </si>
  <si>
    <t>Доля детей, охваченных образовательными программами дополнительного образования детей, в общей численности детей и молодежи в возрасте 5-18 лет, %</t>
  </si>
  <si>
    <t>Охват приоритетных категорий детей через разные формы отдыха, %</t>
  </si>
  <si>
    <t>0709</t>
  </si>
  <si>
    <t>6</t>
  </si>
  <si>
    <t>Доля детей и молодежи, ставших победителями и призерами, муниципальных, краевых, Всероссийских мероприятий (от общего количества участников),%</t>
  </si>
  <si>
    <t>Приложение 1</t>
  </si>
  <si>
    <t>Подпрограмма  2   "Развитие системы общего образования"</t>
  </si>
  <si>
    <t>2.</t>
  </si>
  <si>
    <t>0405</t>
  </si>
  <si>
    <t>0412</t>
  </si>
  <si>
    <t>к пояснительной записке</t>
  </si>
  <si>
    <t>0605</t>
  </si>
  <si>
    <t>Приложение 6</t>
  </si>
  <si>
    <t>Непрограммные мероприятия</t>
  </si>
  <si>
    <t>Предоставление мер социальной поддержки учащимся из малоимущих семей</t>
  </si>
  <si>
    <t>Социальное обеспечение населения</t>
  </si>
  <si>
    <t>Пенсионное обеспечение</t>
  </si>
  <si>
    <t>1001</t>
  </si>
  <si>
    <t>Подпрограмма "Обеспечение реализации муниципальной программы"</t>
  </si>
  <si>
    <t>Финансовое обеспечение традиционных мероприятий</t>
  </si>
  <si>
    <t>Развитие учительского потенциала: семинары,конференции, форумы, конкурсы и другие формы мероприятий по обмену опытом с участием педагогических работников</t>
  </si>
  <si>
    <t>Коммунальное хозяйство</t>
  </si>
  <si>
    <t>Другие общегосударственные вопросы</t>
  </si>
  <si>
    <t>0106</t>
  </si>
  <si>
    <t>0104</t>
  </si>
  <si>
    <t>0103</t>
  </si>
  <si>
    <t>Функционирование высшего должностного лица субъекта Российской Федерации и муниципального образования</t>
  </si>
  <si>
    <t>0102</t>
  </si>
  <si>
    <t>Обеспечение деятельности финансовых, налоговых и таможенных органов и органов финансового (финансово-бюджетного) надзора</t>
  </si>
  <si>
    <t>Функционирование  законодательных  (представительных)  органов  государственной  власти  и  представительных  органов  муниципальных  образований</t>
  </si>
  <si>
    <t>Подпрограмма 1"Развитие системы дошкольного образования"</t>
  </si>
  <si>
    <t>0501</t>
  </si>
  <si>
    <t>Жилищное хозяйство</t>
  </si>
  <si>
    <t>Предоставление средств для участия в проекте "Мобильный учитель"</t>
  </si>
  <si>
    <t>Предоставление оборудованных зданий и иных помещений для проведения общеобразовательного процесса, обустройство прилегающих к ним территорий и организация подвоза учащихся</t>
  </si>
  <si>
    <t>0406</t>
  </si>
  <si>
    <t>2.1.1.</t>
  </si>
  <si>
    <t>3.1.1.</t>
  </si>
  <si>
    <t>11 1 00 00000</t>
  </si>
  <si>
    <t>11 2 01 00000</t>
  </si>
  <si>
    <t>04 0 00 00000</t>
  </si>
  <si>
    <t>04 1 00 00000</t>
  </si>
  <si>
    <t>1.1.1.</t>
  </si>
  <si>
    <t>1.1.2.</t>
  </si>
  <si>
    <t>04 2 00 00000</t>
  </si>
  <si>
    <t>2.1.2.</t>
  </si>
  <si>
    <t>03 0 00 00000</t>
  </si>
  <si>
    <t>03 1 00 00000</t>
  </si>
  <si>
    <t>1.1.3.</t>
  </si>
  <si>
    <t>03 2 00 00000</t>
  </si>
  <si>
    <t>03 3 00 00000</t>
  </si>
  <si>
    <t>3.2.1.</t>
  </si>
  <si>
    <t>03 4 00 00000</t>
  </si>
  <si>
    <t>4.1.1.</t>
  </si>
  <si>
    <t>4.1.2.</t>
  </si>
  <si>
    <t>4.1.3.</t>
  </si>
  <si>
    <t>4.2.1.</t>
  </si>
  <si>
    <t>03 5 00 00000</t>
  </si>
  <si>
    <t>5.1.1.</t>
  </si>
  <si>
    <t>5.1.2.</t>
  </si>
  <si>
    <t>03 6 00 00000</t>
  </si>
  <si>
    <t>6.1.1.</t>
  </si>
  <si>
    <t>7.</t>
  </si>
  <si>
    <t>03 7 00 00000</t>
  </si>
  <si>
    <t>7.1.1.</t>
  </si>
  <si>
    <t>7.3.1.</t>
  </si>
  <si>
    <t>02 7 03 00000</t>
  </si>
  <si>
    <t>Основное мероприятие: Прочие мероприятия в сфере образования</t>
  </si>
  <si>
    <t>7.3.</t>
  </si>
  <si>
    <t>7.2.1.</t>
  </si>
  <si>
    <t>02 7 02 00000</t>
  </si>
  <si>
    <t>7.2.</t>
  </si>
  <si>
    <t>02 7 01 00090</t>
  </si>
  <si>
    <t>Содержание органов местного самоуправления</t>
  </si>
  <si>
    <t>02 7 01 00000</t>
  </si>
  <si>
    <t>Основное мероприятие: Обеспечение деятельности органов местного самоуправления</t>
  </si>
  <si>
    <t>02 7 00 00000</t>
  </si>
  <si>
    <t>Подпрограмма 7  "Обеспечение реализации муниципальной программы и прочие мероприятия в области образования"</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</si>
  <si>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</si>
  <si>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6.1.2.</t>
  </si>
  <si>
    <t>02 6 01 00000</t>
  </si>
  <si>
    <t>Основное мероприятие: Организация ремонтов образовательных организаций</t>
  </si>
  <si>
    <t>02 6 00 00000</t>
  </si>
  <si>
    <t>5.2.1.</t>
  </si>
  <si>
    <t>02 5 02 00000</t>
  </si>
  <si>
    <t>Основное мероприятие: Развитие учительского потенциала</t>
  </si>
  <si>
    <t>5.2.</t>
  </si>
  <si>
    <t>Дополнительные меры социальной поддержки отдельных категорий лиц, которым присуждены ученые степени кандидата и доктора наук, работающих в общеобразовательных и профессиональных организациях</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</si>
  <si>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</si>
  <si>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Предоставление мер социальной поддержки педагогическим работникам образовательных организаций</t>
  </si>
  <si>
    <t>5.1.4.</t>
  </si>
  <si>
    <t>5.1.3.</t>
  </si>
  <si>
    <t>Предоставление жилья молодым специалистам, педагогам</t>
  </si>
  <si>
    <t>02 5 01 2Д130</t>
  </si>
  <si>
    <t>02 5 01 00000</t>
  </si>
  <si>
    <t>Основное мероприятие: Развитие кадрового потенциала</t>
  </si>
  <si>
    <t>02 5 00 00000</t>
  </si>
  <si>
    <t>02 4 02 2Д110</t>
  </si>
  <si>
    <t>Мероприятия, обеспечивающие развитие сферы организации отдыха и оздоровления детей</t>
  </si>
  <si>
    <t>02 4 02 00000</t>
  </si>
  <si>
    <t>Основное мероприятие: Организация отдыха и оздоровления детей</t>
  </si>
  <si>
    <t>Мероприятия по организации оздоровления и отдыха детей</t>
  </si>
  <si>
    <t>02 4 01 2Д100</t>
  </si>
  <si>
    <t>Содержание загородных лагерей в зимний период</t>
  </si>
  <si>
    <t>02 4 01 2Д090</t>
  </si>
  <si>
    <t>02 4 01 00000</t>
  </si>
  <si>
    <t>02 4 00 00000</t>
  </si>
  <si>
    <t>02 3 01 2Д080</t>
  </si>
  <si>
    <t>Мероприятия, обеспечивающие развитие дополнительного образования</t>
  </si>
  <si>
    <t>02 3 02 00000</t>
  </si>
  <si>
    <t>Основное мероприятие: Мероприятия в сфере дополнительного образования</t>
  </si>
  <si>
    <t>02 3 01 2Д070</t>
  </si>
  <si>
    <t>02 3 01 00000</t>
  </si>
  <si>
    <t>Основное мероприятие: Предоставление дополнительного образования в организациях дополнительного образования детей</t>
  </si>
  <si>
    <t>02 3 00 00000</t>
  </si>
  <si>
    <t>2.1.5.</t>
  </si>
  <si>
    <t>2.1.4.</t>
  </si>
  <si>
    <t>2.1.3.</t>
  </si>
  <si>
    <t>02 2 01 2Д040</t>
  </si>
  <si>
    <t>02 2 01 00000</t>
  </si>
  <si>
    <t>Основное мероприятие: Предоставление общего (начального, основного, среднего) образования в общеобразовательных организациях</t>
  </si>
  <si>
    <t>02 2 00 00000</t>
  </si>
  <si>
    <t>02 1 02 2Д030</t>
  </si>
  <si>
    <t xml:space="preserve">Мероприятия, обеспечивающие развитие дошкольного образования </t>
  </si>
  <si>
    <t>1.2.1.</t>
  </si>
  <si>
    <t>02 1 01 00000</t>
  </si>
  <si>
    <t>Основное мероприятие: Мероприятия в сфере дошкольного образования</t>
  </si>
  <si>
    <t>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</si>
  <si>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</si>
  <si>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t>02 1 01 2Н020</t>
  </si>
  <si>
    <t>02 1 01 2Д010</t>
  </si>
  <si>
    <t>Основное мероприятие: Предоставление дошкольного образования в дошкольных образовательных организациях</t>
  </si>
  <si>
    <t>02 1 00 00000</t>
  </si>
  <si>
    <t>02 0 00 00000</t>
  </si>
  <si>
    <t>Наименование муниципальной програмы, подпрограммы, основного мероприятия, мероприятия</t>
  </si>
  <si>
    <t>09 2 00 00000</t>
  </si>
  <si>
    <t>09 2 01 00000</t>
  </si>
  <si>
    <t>92 0 00 2Ш120</t>
  </si>
  <si>
    <t>92 0 00 2Ш110</t>
  </si>
  <si>
    <t>90 0 00 00000</t>
  </si>
  <si>
    <t>92 0 00 70010</t>
  </si>
  <si>
    <t>92 0 00 00000</t>
  </si>
  <si>
    <t>93 0 00 00000</t>
  </si>
  <si>
    <t>92 0 00 2Ш020</t>
  </si>
  <si>
    <t>91 0 00 00090</t>
  </si>
  <si>
    <t>93 0 00 2К080</t>
  </si>
  <si>
    <t>91 0 00 00020</t>
  </si>
  <si>
    <t>1.1.1</t>
  </si>
  <si>
    <t>91 0 00 00070</t>
  </si>
  <si>
    <t>91 0 00 00040</t>
  </si>
  <si>
    <t>доля муниципальных образовательных организаций Нытвенского муниципального района, у которых не имеется неисполненных предписаний надзорных органов в отношении замечаний к имущественному комплексу</t>
  </si>
  <si>
    <t>8=7-6</t>
  </si>
  <si>
    <t>1.1</t>
  </si>
  <si>
    <t>1.1.2</t>
  </si>
  <si>
    <t>1.2.1</t>
  </si>
  <si>
    <t>1.3.1</t>
  </si>
  <si>
    <t>2.1</t>
  </si>
  <si>
    <t>2.1.1</t>
  </si>
  <si>
    <t>0703</t>
  </si>
  <si>
    <t>Создание условий для осуществления присмотра и ухода за детьми, включая их питание и режим дня</t>
  </si>
  <si>
    <t xml:space="preserve">Предоставление мер социальной поддержки учащимся из многодетных малоимущих семей </t>
  </si>
  <si>
    <t>Предоставление государственных гарантий на получение общедоступного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t>
  </si>
  <si>
    <t>0701, 0702</t>
  </si>
  <si>
    <t>07 0 00 00000</t>
  </si>
  <si>
    <t>07 1 00 00000</t>
  </si>
  <si>
    <t>07 2 00 00000</t>
  </si>
  <si>
    <t>0409</t>
  </si>
  <si>
    <t>07 2 01 00000</t>
  </si>
  <si>
    <t>ПСД</t>
  </si>
  <si>
    <t>в т.ч.</t>
  </si>
  <si>
    <t>РУО</t>
  </si>
  <si>
    <t>Оплата представительских расходов и расходов на мероприятия</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</si>
  <si>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</si>
  <si>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Содержание казенных учреждений</t>
  </si>
  <si>
    <t>Основное мероприятие "Создание условий для развития АПК"</t>
  </si>
  <si>
    <t>02 1 01 2Д020</t>
  </si>
  <si>
    <t>Качественное формирование библиотечных фондов</t>
  </si>
  <si>
    <t>1004</t>
  </si>
  <si>
    <t>Пропаганда физической культуры и здорового образа жизни</t>
  </si>
  <si>
    <t>Выплата единовременного денежного вознаграждения за выдающиеся достижения и особые заслуги в области спорта спортсменам</t>
  </si>
  <si>
    <t>2020 год</t>
  </si>
  <si>
    <t>Наименование муниципальной программы, подпрограммы, основного мероприятия,  мероприятия</t>
  </si>
  <si>
    <t>Расходы,тыс.рублей</t>
  </si>
  <si>
    <t>2020 год (проект)</t>
  </si>
  <si>
    <t>2020год</t>
  </si>
  <si>
    <t>Мероприятие "Поддержка кадрового потенциала"</t>
  </si>
  <si>
    <t>Мероприятие "Предоставление субсидий на посев (подсев) многолетних трав"</t>
  </si>
  <si>
    <t>1.1.3</t>
  </si>
  <si>
    <t>Мероприятие "Проведение обучающих семинаров, конференций"</t>
  </si>
  <si>
    <t>Ежегодное проведение обучающих семинаров, шт.</t>
  </si>
  <si>
    <t>1.1.4</t>
  </si>
  <si>
    <t>Мероприятие "Поддержка племенного коневодства"</t>
  </si>
  <si>
    <t>1.2</t>
  </si>
  <si>
    <t>Основное мероприятие "Финансовая поддержка субъектов МФХ"</t>
  </si>
  <si>
    <t>Мероприятие "Организация и проведение ярмарочных мероприятий"</t>
  </si>
  <si>
    <t>1.2.2</t>
  </si>
  <si>
    <t>Мероприятие "Поддержка КФХ"</t>
  </si>
  <si>
    <t>1.3</t>
  </si>
  <si>
    <t>2.1.2</t>
  </si>
  <si>
    <t>2.1.3</t>
  </si>
  <si>
    <t>2.2</t>
  </si>
  <si>
    <t>2.2.1</t>
  </si>
  <si>
    <t>3.1.1</t>
  </si>
  <si>
    <t>КЦСР</t>
  </si>
  <si>
    <t>КФСР</t>
  </si>
  <si>
    <t>Основное мероприятие 1.1. " Обеспечение выполнения мероприятий по предупреждению и ликвидации пожаров, чрезвычайных ситуаций и стихийных бюдствий"</t>
  </si>
  <si>
    <t>СГЗ</t>
  </si>
  <si>
    <t>051012Б010</t>
  </si>
  <si>
    <t>051012Б020</t>
  </si>
  <si>
    <t>051012Б030</t>
  </si>
  <si>
    <t>УКС</t>
  </si>
  <si>
    <t>Основное мероприятие 1.2."Поддержание в готовности сил, средств гражданской обороны и систем оповещения населения об опасностиях"</t>
  </si>
  <si>
    <t>1.2.1. Оборудование и эксплуатация элементов автоматизированной системы централизованного оповещения и информирования населения</t>
  </si>
  <si>
    <t>2.1.1.Изготовление и размещение профилактической продукции, проведение  мероприятий по вопросам профилактики правонарушений</t>
  </si>
  <si>
    <t xml:space="preserve">2.1.2. Проведение информационной кампании о способах и методах защиты жизни,  здоровья и имущества граждан от преступных посягательств, формирование позитивного общественного мнения о правоохранительной деятельности и результатах работы по профилактике правонарушений </t>
  </si>
  <si>
    <t>2.1.3. Охрана объектов и обеспечение правопорядка при проведении массовых мероприятий на территории Нытвенского муниципального района</t>
  </si>
  <si>
    <t>Отдел по культуре и искусству</t>
  </si>
  <si>
    <t>Основное мероприятие 2.2."Обеспечение безопасности дорожного движения"</t>
  </si>
  <si>
    <t>2.2.1. Изготовление и размещение профилактической продукции, проведение профилактических мероприятий по вопросам безопасности дорожного движения.</t>
  </si>
  <si>
    <t>2.2.2. Организация и проведение профилактических мероприятий по вопросам безопасности дорожного движения с участием детей.</t>
  </si>
  <si>
    <t>2.2.3. Обеспечение первокласников светоотражающими значками.</t>
  </si>
  <si>
    <t>Основное мероприятие 2.3."Организация и ведение профилактической работы по противодействию экстремизму и профилактике терроризма"</t>
  </si>
  <si>
    <t>2.3.1. Изготовление и распространение пропагандистских и агитационных материалов по профилактике экстремизиа, проведение мероприятий по профилактике экстремизма</t>
  </si>
  <si>
    <t>2.3.2. Изготовление и распостранение пропагандийстких и агитационных материалов  о порядке действий в случае угрозы террористического акта и при обнаружении подозрительных предметов</t>
  </si>
  <si>
    <t>Основное мероприятие 2.4. Профилактика безнадзорности и правонарушений среди несовершеннолетних</t>
  </si>
  <si>
    <t xml:space="preserve">2.4.1.Обеспечение каникулярной занятости несовершеннолетних, состоящих на учете в ОМВД, на учете в СОП и группе риска </t>
  </si>
  <si>
    <t xml:space="preserve">2.4.2. Организация в свободное от учебы время  временного трудоустройства несовершеннолетних граждан в возрасте от 14 до 18 лет, состоящих на учете в ОМВД, на учете в СОП и группе риска  </t>
  </si>
  <si>
    <t xml:space="preserve">2.4.3.Организация спортивных мероприятий для несовершеннолетних, трудных подростков, состоящих на учете в ОМВД, на учете в СОП и группе риска  </t>
  </si>
  <si>
    <t>Основное мероприятие 2.5. Ресоциализация лиц, освободившихся из мест лишения свободы</t>
  </si>
  <si>
    <t xml:space="preserve">2.5.1. Оказание помощи ранее судимым гражданам в восстановлении утерянных документов, удостоверяющих личность, с целью регистрации в ЦЗН и дальнейшего трудоустройства. </t>
  </si>
  <si>
    <t>Основное мероприятие 2.6. Профилактика алкоголизма, наркомании, токсикомании, противодействие незаконному обороту алкогольной и спиртосодержащей продукции</t>
  </si>
  <si>
    <t xml:space="preserve">2.6.3. Организация спортивных и досуговых мероприятий в целях пропаганды здорового образа жизни, профилактики потребления психоактивных веществ, алкоголизма, наркотиков </t>
  </si>
  <si>
    <t>052006Б250</t>
  </si>
  <si>
    <t>Основное мероприятие 2.7. Внедрение и развитие системы видеонаблюдения и фотовидеофиксации</t>
  </si>
  <si>
    <t>2.7.1. Организация надлежащего контроля в зданиях</t>
  </si>
  <si>
    <t>Подпрограмма 3 "Обеспечение реализации муниципальной программы"</t>
  </si>
  <si>
    <t>Основное мероприятие 3.1."Обеспечение деятельности казенных учреждений"</t>
  </si>
  <si>
    <t>3.1.1. Содержание казенных учреждений</t>
  </si>
  <si>
    <t>11 3 01 00000</t>
  </si>
  <si>
    <t>11 3 00 00000</t>
  </si>
  <si>
    <t>93 0 00 2П060</t>
  </si>
  <si>
    <t>93 0 00 2С050</t>
  </si>
  <si>
    <t>93 0 00 2С090</t>
  </si>
  <si>
    <t>93 0 00 2С250</t>
  </si>
  <si>
    <t>0100000000</t>
  </si>
  <si>
    <t>0110000000</t>
  </si>
  <si>
    <t>0120100000</t>
  </si>
  <si>
    <t>0909</t>
  </si>
  <si>
    <t>2.3</t>
  </si>
  <si>
    <t>2.3.1</t>
  </si>
  <si>
    <t>2.3.2</t>
  </si>
  <si>
    <t>3.1</t>
  </si>
  <si>
    <t>I</t>
  </si>
  <si>
    <t>Единая субвенция на выполнение отдельных государственных полномочий в сфере образования</t>
  </si>
  <si>
    <t>0701, 0709, 1004</t>
  </si>
  <si>
    <t>02 2 01 2Н020</t>
  </si>
  <si>
    <t>Организация предоставления общедоступного дополнительного образования детей в организациях дополнительного образования неспортивной направленности</t>
  </si>
  <si>
    <t>Подпрограмма 4 "Организация отдыха и оздоровления детей"</t>
  </si>
  <si>
    <t>Организация отдыха и оздоровления детей в загородных лагерях, лагерях с круглосуточным пребыванием на базе образовательных организаций, в походах и сплавах</t>
  </si>
  <si>
    <t>02 5 01 2Н020</t>
  </si>
  <si>
    <t>02 5 01 2С170</t>
  </si>
  <si>
    <t>0701, 0702, 0703</t>
  </si>
  <si>
    <t>02 6 01 SР040</t>
  </si>
  <si>
    <t>Основное мероприятие: Обеспечение деятельности казенных учреждений</t>
  </si>
  <si>
    <t>02 7 02 00110</t>
  </si>
  <si>
    <t>7.3.2.</t>
  </si>
  <si>
    <t>Оплата представительских расходов</t>
  </si>
  <si>
    <t>Ремонт автомобильной дороги "Мокино-Майский"</t>
  </si>
  <si>
    <t>Обеспечение деятельности учреждений дополнительного образования</t>
  </si>
  <si>
    <t>Предоставление социальных гарантий педагогическим работникам дополнительного образования</t>
  </si>
  <si>
    <t>Организация предоставления общедоступного дополнительного образования детей в организациях дополнительного образования спортивной направленности</t>
  </si>
  <si>
    <t xml:space="preserve">Методическое обеспечение культурно-досуговой деятельности. Семинары, мастер-классы </t>
  </si>
  <si>
    <t>Развитие общественных организаций и объединений Нытвенского муниципального района</t>
  </si>
  <si>
    <t>Жилищно-коммунальное хозяйство</t>
  </si>
  <si>
    <t>Приложение 5</t>
  </si>
  <si>
    <t>2021 год (проект)</t>
  </si>
  <si>
    <t>2021год</t>
  </si>
  <si>
    <t>Подпрограмма "Создание условий для развития сельского хозяйства"</t>
  </si>
  <si>
    <t>0610000000</t>
  </si>
  <si>
    <t>0610100000</t>
  </si>
  <si>
    <t>Валовый надой молока, тыс.т</t>
  </si>
  <si>
    <t>Поголовье коров, гол.</t>
  </si>
  <si>
    <t>061012П010</t>
  </si>
  <si>
    <t>Рентабельность производства, %</t>
  </si>
  <si>
    <t>061012П020</t>
  </si>
  <si>
    <t>Сохранение посевных площадей получателями субсидии, тыс.га</t>
  </si>
  <si>
    <t>Создание кормовой базы, ц.корм.ед./усл.гол.</t>
  </si>
  <si>
    <t>061012П030</t>
  </si>
  <si>
    <t>061012П040</t>
  </si>
  <si>
    <t>Поголовье племенных конематок, гол.</t>
  </si>
  <si>
    <t>0610200000</t>
  </si>
  <si>
    <t>Кол-во КФХ, состоящих в реестре получателей гос.поддержки с/х производства, ед.</t>
  </si>
  <si>
    <t>061022П050</t>
  </si>
  <si>
    <t>Кол-во участников ярмарочных мероприятий, способствующих сбыту с/х продукции и с/х животных, ед.</t>
  </si>
  <si>
    <t>061022П060</t>
  </si>
  <si>
    <t>Основное мероприятие "Возмещение части процентной ставки по долгосрочным, среднесрочным кредитам, взятыми малыми формами хозяйствования"</t>
  </si>
  <si>
    <t>0610300000</t>
  </si>
  <si>
    <t>06103R5430</t>
  </si>
  <si>
    <t>1.3.2</t>
  </si>
  <si>
    <t>061032У030</t>
  </si>
  <si>
    <t>0620000000</t>
  </si>
  <si>
    <t>3.1.2</t>
  </si>
  <si>
    <t xml:space="preserve"> 2.1.</t>
  </si>
  <si>
    <t>0620100000</t>
  </si>
  <si>
    <t>1.3.3</t>
  </si>
  <si>
    <t>052006Б270</t>
  </si>
  <si>
    <t>2.6.1. Проведение профилактических мероприятий по выявлению несовершеннолетних, допускающих употребление ПСАВ, нарушений по фактам незаконной продажи алкогольной и табачной продукции несовершеннолетним</t>
  </si>
  <si>
    <t>9,6/1,88</t>
  </si>
  <si>
    <t>9,4/1,84</t>
  </si>
  <si>
    <t>9,2/1,8</t>
  </si>
  <si>
    <t>не менее 95%</t>
  </si>
  <si>
    <t>Муниципальная программа Нытвенского муниципального района</t>
  </si>
  <si>
    <t>Доля населения района, систематически занимающихся физической культурой и спортом, в общей численности населения в возрасте от 3 до 79 лет.</t>
  </si>
  <si>
    <t>1.1.4.</t>
  </si>
  <si>
    <t>Мероприятие «Укрепление и развитие материально-технической базы учреждений дополнительного образования спортивной направленности»</t>
  </si>
  <si>
    <t>Доля обучающихся и студентов, систематически занимающихся физической культурой и спортом, в общей численности обучающихся и студентов Нытвенского муниципального район.</t>
  </si>
  <si>
    <t>Организация и проведение культурно-массовых мероприятий</t>
  </si>
  <si>
    <t>1.2.3</t>
  </si>
  <si>
    <t>Меропряития направленные на стимулирование и оказание правовой, информационно-методической, организационной помощи органам ТОС</t>
  </si>
  <si>
    <t>Количество посещений библиотек (на 1 жителя в год) (21500-посещений)</t>
  </si>
  <si>
    <t>3.2.2</t>
  </si>
  <si>
    <t>Предоставление мер социальной поддержки отдельным категориям граждан, работающим в государственных и муниципальных организациях Пермского края и проживающим в сельской местности и поселках городского типа (рабочих поселках), по оплате жилого помещения и коммунальных услуг</t>
  </si>
  <si>
    <t xml:space="preserve">Доля населения Нытвенского района, охваченного библиотечным обслуживанием
</t>
  </si>
  <si>
    <t>4.1</t>
  </si>
  <si>
    <t>4.1.1</t>
  </si>
  <si>
    <t>Совершенствование системы дополнительного образования детей художественно-эстетической направленности (ФГТ)"</t>
  </si>
  <si>
    <t>4.1.2</t>
  </si>
  <si>
    <t>4.2</t>
  </si>
  <si>
    <t>Реализация системы мер социальной помощи и поддержки отдельных категорий граждан</t>
  </si>
  <si>
    <t>4.2.1</t>
  </si>
  <si>
    <t>5.1</t>
  </si>
  <si>
    <t>6.1</t>
  </si>
  <si>
    <t>7</t>
  </si>
  <si>
    <t>7.1.1</t>
  </si>
  <si>
    <t>2021 год</t>
  </si>
  <si>
    <t>0120200000</t>
  </si>
  <si>
    <t>Содержание межшкольного стадиона г.Нытва, пр.Ленина, 24</t>
  </si>
  <si>
    <t>905</t>
  </si>
  <si>
    <t>2.4</t>
  </si>
  <si>
    <t>2.4.1</t>
  </si>
  <si>
    <t>Освобождение от платы за содержание детей в муниципальных дошкольных образовательных организациях и муниципальных общеобразовательных организациях со структурным подразделением "детский сад"</t>
  </si>
  <si>
    <t>02 2 01 SH040</t>
  </si>
  <si>
    <t>в т.ч. Краевой бюджет</t>
  </si>
  <si>
    <t>в т.ч. Местный бюджет</t>
  </si>
  <si>
    <t>Обеспечение питанием детей с ограниченными возможностями здоровья в общеоразовательных организациях</t>
  </si>
  <si>
    <t>02 4 01 2С140</t>
  </si>
  <si>
    <t>Подпрограмма  5 "Кадровая политика. Привлечение и закрепление молодых специалистов в отрасль образования"</t>
  </si>
  <si>
    <t>Доля муниципальных образовательных организаций Нытвенского муниципального района, имеющих лицензию на образовательную деятельность,%</t>
  </si>
  <si>
    <t>Приложение 3</t>
  </si>
  <si>
    <t>Приложение 4</t>
  </si>
  <si>
    <t>Расходы, тыс.рублей</t>
  </si>
  <si>
    <t>0709, 1004</t>
  </si>
  <si>
    <t>0701, 0702, 1003</t>
  </si>
  <si>
    <t>0703, 0709</t>
  </si>
  <si>
    <t>0510100000</t>
  </si>
  <si>
    <t>0510000000</t>
  </si>
  <si>
    <t>0500000000</t>
  </si>
  <si>
    <t>Федеральный бюджет</t>
  </si>
  <si>
    <t>8</t>
  </si>
  <si>
    <t>07 1 02 00000</t>
  </si>
  <si>
    <t>Ремонт и замена оконных блоков на стеклопакеты</t>
  </si>
  <si>
    <t>Развитие физической культуры</t>
  </si>
  <si>
    <t>Реконструкция сетей водоснабжения д.Заполье</t>
  </si>
  <si>
    <t>Мероприятие направленно на развитие ТОС на территории района</t>
  </si>
  <si>
    <t>Обеспечение деятельности органов местного самоуправления</t>
  </si>
  <si>
    <t>Подпрограмма 1 Развитие физической культуры и формирование здорового образа жизни</t>
  </si>
  <si>
    <t>Подпрограмма 2 Развитие спорта</t>
  </si>
  <si>
    <t>Основное мероприятие Представление дополнительного образования в организациях дополнительного образования детей</t>
  </si>
  <si>
    <t>Основное мероприятие  Развитие инфраструктуры в сфере физической культуры и спорта</t>
  </si>
  <si>
    <t>Основное мероприятие Развитие массового спорта «Мы выбираем спорт!»</t>
  </si>
  <si>
    <t>Основное мероприятие Поддержка спортсменов и тренеров Нытвенского муниципального района</t>
  </si>
  <si>
    <t>2.2.1.</t>
  </si>
  <si>
    <t>"Развитие сельского хозяйства  в Нытвенском городском округе"</t>
  </si>
  <si>
    <t>2019 год утв-но</t>
  </si>
  <si>
    <t>% откл. к 2019 году</t>
  </si>
  <si>
    <t>2022 год</t>
  </si>
  <si>
    <t>Муниципальная программа "Развитие сельского хозяйства в Нытвенском городском округе"</t>
  </si>
  <si>
    <t xml:space="preserve">В программу добавлена новая подпрограмма </t>
  </si>
  <si>
    <t>Мероприятие "Развитие малых форм хозяйствования" (фед. бюджет)</t>
  </si>
  <si>
    <t>Мероприятие "Развитие малых форм хозяйствования" (кр. бюджет)</t>
  </si>
  <si>
    <t>Мероприятие "Развитие малых форм хозяйствования" (расходы, не софинансируемые из ФБ)</t>
  </si>
  <si>
    <t>Подпрограмма "Борьба с борщевиком Сосновского"</t>
  </si>
  <si>
    <t>Основное мероприятие "Предотвращение распространения и уничтожение борщевика"</t>
  </si>
  <si>
    <t xml:space="preserve"> Мероприятие "Предотвращение распространения и уничтожение борщевика Сосновского на территории НГО"</t>
  </si>
  <si>
    <t>площадь обработанных земель сельхозназначения от борщевика введённая в оборот</t>
  </si>
  <si>
    <t>062012П070</t>
  </si>
  <si>
    <t>2022 год (проект)</t>
  </si>
  <si>
    <t>1.3.</t>
  </si>
  <si>
    <t>2022год</t>
  </si>
  <si>
    <t>1.1.1.Проведение мероприятий по профилактике и ликвидации пожаров, чрезвычайных ситуаций, несчастных случаев на воде.</t>
  </si>
  <si>
    <t>0310</t>
  </si>
  <si>
    <t>0,44/9,7/0,69</t>
  </si>
  <si>
    <t>0,43/9,41/0,66</t>
  </si>
  <si>
    <t>0,42/9,22/0,64</t>
  </si>
  <si>
    <t>1.1.2. Обучение добровольных пожарных</t>
  </si>
  <si>
    <t>1.1.3. Содержание гидротехнического сооружения Нытвенского водохранилища</t>
  </si>
  <si>
    <t>1.1.4. Мероприятия по обеспечению надлежащего состояния источников противопожарного водоснабжения</t>
  </si>
  <si>
    <t>1.1.7.Ремонт зданий под размещение стоянки пожарной техники</t>
  </si>
  <si>
    <t>9,7/0,69</t>
  </si>
  <si>
    <t>9,41/0,66</t>
  </si>
  <si>
    <t>9,22/0,64</t>
  </si>
  <si>
    <t>0701, 0702, 0703,</t>
  </si>
  <si>
    <t>ОК</t>
  </si>
  <si>
    <t>0703, 0801</t>
  </si>
  <si>
    <t>051012Б060</t>
  </si>
  <si>
    <t>УЖКХ</t>
  </si>
  <si>
    <t>05101SP180</t>
  </si>
  <si>
    <t>051022Б070</t>
  </si>
  <si>
    <t>снижение числа погибших в результате  чрезвычайных ситуаций и происшествий на водных объектах</t>
  </si>
  <si>
    <t>051022Б100</t>
  </si>
  <si>
    <t>КУИ</t>
  </si>
  <si>
    <t>051022Б110</t>
  </si>
  <si>
    <t>051022Б120</t>
  </si>
  <si>
    <t>051022Б130</t>
  </si>
  <si>
    <t>1.3.1. Капитальный ремонт ГТС муниципальной собственности, бесхозяйных гидротехнических сооружений</t>
  </si>
  <si>
    <t>05103SЦ240</t>
  </si>
  <si>
    <t>Основное мероприятие 1.4. "Создание условий для сохранения благоприятной окружающей среды"</t>
  </si>
  <si>
    <t>1.4.1. Проведение мероприятий на водных объектах Нытвенского городского округа в период весеннего нереста</t>
  </si>
  <si>
    <t>051042Б140</t>
  </si>
  <si>
    <t>0510400000</t>
  </si>
  <si>
    <t>0510300000</t>
  </si>
  <si>
    <t>число погибших в результате  чрезвычайных ситуаций и происшествий на водных объектах</t>
  </si>
  <si>
    <t xml:space="preserve"> число пожаров; количество погибших людей на пожарах.</t>
  </si>
  <si>
    <t xml:space="preserve"> число погибших на водных объектах;- число пожаров; - количество погибших людей на пожарах.</t>
  </si>
  <si>
    <t>число погибших на водных объектах;- число пожаров; - количество погибших людей на пожарах.</t>
  </si>
  <si>
    <t>число погибших на водных объектах;</t>
  </si>
  <si>
    <t>число преступлений, совершенных в общественных местах, от общего количества преступлений; уровень преступности</t>
  </si>
  <si>
    <t>39,3/168</t>
  </si>
  <si>
    <t>38,51/164</t>
  </si>
  <si>
    <t>37,74/160</t>
  </si>
  <si>
    <t>052012Б150</t>
  </si>
  <si>
    <t>052012Б160</t>
  </si>
  <si>
    <t>052012Б170</t>
  </si>
  <si>
    <t>2.1.4. Ремонт и строительство участковых пунктов полиции</t>
  </si>
  <si>
    <t>052012Б180</t>
  </si>
  <si>
    <t>2.1.5.Обеспечение деятельности народных дружин</t>
  </si>
  <si>
    <t>052012Б190</t>
  </si>
  <si>
    <t xml:space="preserve">2.1.6. Проведение профилактических мероприятий с гражданами призывного возраста </t>
  </si>
  <si>
    <t>052012Б200</t>
  </si>
  <si>
    <r>
      <t xml:space="preserve">Финансовое обеспечение реализации Муниципальной программы                                                                                                     </t>
    </r>
    <r>
      <rPr>
        <b/>
        <sz val="10"/>
        <color indexed="8"/>
        <rFont val="Times New Roman"/>
        <family val="1"/>
        <charset val="204"/>
      </rPr>
      <t/>
    </r>
  </si>
  <si>
    <t>"Развитие дорожной инфраструктуры Нытвенского городского округа"</t>
  </si>
  <si>
    <t>тыс.рублей</t>
  </si>
  <si>
    <t>Наименование муниципальной программы, подпрограммы, основного мероприятия, мероприятия</t>
  </si>
  <si>
    <t>Справочно:утвержденные разовые затраты, которые необходимо было произвести в 2019 году</t>
  </si>
  <si>
    <t>Расходы , тыс.руб.</t>
  </si>
  <si>
    <t>Обоснование</t>
  </si>
  <si>
    <t>Подпрограмма "Дорожная инфраструктура"</t>
  </si>
  <si>
    <t>Основное мероприятие 1.1. Поддержание автомобильных дорог в норамтивном состоянии</t>
  </si>
  <si>
    <t>Мероприятие 1.1.1. Содержание автомобильных дорог</t>
  </si>
  <si>
    <t>07 1 01 2Н010</t>
  </si>
  <si>
    <t>Мероприятие 1.1.2. Разработка технической документации по дорогам</t>
  </si>
  <si>
    <t>07 1 01 2Н020</t>
  </si>
  <si>
    <t>07 1 01 2Н030</t>
  </si>
  <si>
    <t>07 1 01 2Н040</t>
  </si>
  <si>
    <t>Мероприятие 1.1.8 Содержание тротуаров</t>
  </si>
  <si>
    <t>07 1 01 2Н050</t>
  </si>
  <si>
    <r>
      <rPr>
        <sz val="10"/>
        <rFont val="Times New Roman"/>
        <family val="1"/>
        <charset val="204"/>
      </rPr>
      <t>Мероприятие 1.1</t>
    </r>
    <r>
      <rPr>
        <b/>
        <sz val="10"/>
        <rFont val="Times New Roman"/>
        <family val="1"/>
        <charset val="204"/>
      </rPr>
      <t>.</t>
    </r>
    <r>
      <rPr>
        <sz val="10"/>
        <rFont val="Times New Roman"/>
        <family val="1"/>
        <charset val="204"/>
      </rPr>
      <t>9. Установка барьерного ограждения на опасных участках дорог возле детских учреждений</t>
    </r>
  </si>
  <si>
    <t>Обеспечение барьерными ограждениями детские учреждения</t>
  </si>
  <si>
    <t>у школы п. Уральский, у ДДТ Нытва ул. Комсомольская и у спортивнй школы</t>
  </si>
  <si>
    <t>Мероприятие 1.1.10 Установка элементов освещения на пешеходных переходах, автопавильонах и приближений к железнодорожным переездам</t>
  </si>
  <si>
    <t>07 1 01 2Н070</t>
  </si>
  <si>
    <t>Освещение приближений к железнодорожным переездам, шт.</t>
  </si>
  <si>
    <t>Освещение переходов и автопавильонов,шт</t>
  </si>
  <si>
    <t>установка 16 маттч освещения автопавильонов и пешеходных переходов,Освещение ж/д переездов на а/д "Сукманы-Тюлени","Нытва-Новоильинский", "Сукманы-Уральский"</t>
  </si>
  <si>
    <t>Мероприятие 1.1.11 Замена светофорного объекта на пр-т Металлургов г.Нытва</t>
  </si>
  <si>
    <t>07 1 01 2Н080</t>
  </si>
  <si>
    <t>Замена светофорных объектов</t>
  </si>
  <si>
    <t>Замена светофора у автовокзала</t>
  </si>
  <si>
    <t>Основное мероприятие 1.2. Капитальный ремонт автомобильных дорог и сооружений на них</t>
  </si>
  <si>
    <t>Мероприятие 1.2.1 Капитальный ремонт моста через р.Поломка на автомобильной дороге "Реуны-Кошели"</t>
  </si>
  <si>
    <t>07 1 02 2Н090</t>
  </si>
  <si>
    <t>Ремонт автомобильных мостов,шт</t>
  </si>
  <si>
    <t>По решению суда № 2-921/2018 от 04.09.2018, срок иполнения 01.12.2021г.В 2020 году будут выполнены ПСД</t>
  </si>
  <si>
    <t>Стоимость ремонта всего 38608,1, в т.ч. МБ 3860,8 тыс.руб., КБ 34747,3 тыс.руб.</t>
  </si>
  <si>
    <t xml:space="preserve">Основное мероприятие 1.3. Ремонт автомобильных дорог и сооружений на них </t>
  </si>
  <si>
    <t>07 1 03 00000</t>
  </si>
  <si>
    <t>Ремонт автомобильных дорог общего пользования местного значения,км</t>
  </si>
  <si>
    <t>Ремонт а/дорог ул. 2-ая Гаревская, ул.Энгельса, ул. Оськинская д.Оськино</t>
  </si>
  <si>
    <t>Ремонт автомобильной дороги ул. К.Либнехта</t>
  </si>
  <si>
    <t>Ремонт участка дороги по ул.Московская п.Уральский (от строения № 24 до строения № 22)</t>
  </si>
  <si>
    <t>Ремонт грунтовых дорог на территории Уральского городского поселения (м/р "Черемушки" ул.Заречная)</t>
  </si>
  <si>
    <t>Ремонт участка дороги по ул.Московская п.Уральский (от строения № 22 до строения № 18)</t>
  </si>
  <si>
    <t>Ремонт грунтовых дорог на территории Уральского городского поселения (д.Сукманы)</t>
  </si>
  <si>
    <t>Ремонт автомобильных дорог п. Новоильинский</t>
  </si>
  <si>
    <t>Ремонт автодороги по ул. Школьная с. Григорьевское</t>
  </si>
  <si>
    <t>Отремонтировано в 2019 году</t>
  </si>
  <si>
    <t>Ремонт автодорог ст. Григоревская ул. Первомайская, Колхозная</t>
  </si>
  <si>
    <t>Отремонтировано в 2019 году за счет экономии по порядку 93-п</t>
  </si>
  <si>
    <t>Ремонт автомобильной дороги ст. Григорьевская ул. Школьная, ул. Полевая, ул.Заводская ул. М.Гвардия</t>
  </si>
  <si>
    <t>Решение суда от 28.08.2018г. № 2-737/2018 , ремонт 1,9 км из них 400 м. ПГС, 1,5 грунт</t>
  </si>
  <si>
    <t>Ремонт автомобильной дороги с. Григорьевское, ул. Чапаева</t>
  </si>
  <si>
    <t>протяженность 0,33 км., (лог) ранее был построен газопровод (обращение жителей 2017-2019гг)</t>
  </si>
  <si>
    <t>ремонт ул. Школьная д. Заполье (бетонное исполнение м.300)</t>
  </si>
  <si>
    <t>д. Постаноги ул. Советская (съезд на ул. Заречная), проулок Специалистов перекресток с проулком Советская с Юбилейная с устройством трубы</t>
  </si>
  <si>
    <t>д. Постаноги ул. Полевая 200 м.</t>
  </si>
  <si>
    <t>Ремонт ул. Центральная, Заречная, садовая д. Удалы</t>
  </si>
  <si>
    <t>Ремонт ул. Центральная ст. Чайковская</t>
  </si>
  <si>
    <t>улица Липовая д Чекмени</t>
  </si>
  <si>
    <t>улица Новая д Конино</t>
  </si>
  <si>
    <t>ремонт автобильных дорог д. Бабуши ул. Зеленая, ул.Заречная</t>
  </si>
  <si>
    <t xml:space="preserve">Решение суда </t>
  </si>
  <si>
    <t>Ремонт автомобильной дороги по ул. Заречная с.Шерья</t>
  </si>
  <si>
    <t>Мероприяти 1.3.1         Ремонт автомобильных дорог с переходным типом покрытия и грунтовых дорог</t>
  </si>
  <si>
    <t>07 1 03 2Н110</t>
  </si>
  <si>
    <t>Ремонт автомобильных дорог общего пользования местного значения, км</t>
  </si>
  <si>
    <t>Мероприятие 1.3.2.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</si>
  <si>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07 1 03 SP040</t>
  </si>
  <si>
    <t>Ремонт автомобильных дорог ул.Липовая д. Н.Гаревая, ул. Новая д. Конино, ул. Камская от д. № 106 до лесного массива по ул. Нагорной г.Нытва</t>
  </si>
  <si>
    <t>Множество жалоб и обращений по ступило по данным улицам от граждан, по ул. Камской есть решение суда от 13.11.2017 № 2-1148/2017 , срок 31.08.2019</t>
  </si>
  <si>
    <t>07 1 03 ST040</t>
  </si>
  <si>
    <t>Ремонт участка автомобильной дороги г. Нытва по ул. Карла Маркса от д. 94 до ул. Комсомольской</t>
  </si>
  <si>
    <t>Дорога в гравийном исполнении решение суда № 2-779/2019 от 16.08.2019. Протяженность 887 м.Дорогу нобходимо привести в соответсвии в связи с ремонтом моста через плотину в 2021 году</t>
  </si>
  <si>
    <t>Ремонт участка автомобильной дороги г. Нытва по ул. Карла Маркса от д. 46 до Матигорова</t>
  </si>
  <si>
    <t>Дорога асфальтобетонная решение суда № 2-779/2019 от 16.08.2019. Дорогу нобходимо привести в соответсвии в связи с ремонтом моста через плотину в 2021 году</t>
  </si>
  <si>
    <t>Ремонт участка автомобильной дороги г. Нытва по ул. Мира от д. 14г до Боталовского моста</t>
  </si>
  <si>
    <t>Дорога асфальтобетонная свего протяженность 1,670 км, отремонтировано в 2017 году участок от перекрестка с ул. Чапаева до № 14г по ул. Мира.Дорогу нобходимо привести в соответсвии в связи с ремонтом моста через плотину в 2021 году</t>
  </si>
  <si>
    <t>Ремонт дорог по ул. Матигорова и ул. Железнодорожная Казарма</t>
  </si>
  <si>
    <t>Необходимо селать подездную дорогу к новой школе, 210 п.м. В настоящее время дорога гравийная, планируется устройство тротуара и 5 столобов освещения.</t>
  </si>
  <si>
    <t>Ремонт автомобильной дороги "Нытва-Н.Гаревая", Н.Гаревая-Конино"</t>
  </si>
  <si>
    <t>Заявка отвезена в 2018 году, заключено соглашение</t>
  </si>
  <si>
    <t>Ремонт автомобильной дороги "Григоревское-Покровское" (участок км00+000 -км 01+142)</t>
  </si>
  <si>
    <r>
      <t>Муниципальный контракт с ООО Нарат-Строй №</t>
    </r>
    <r>
      <rPr>
        <sz val="10"/>
        <color indexed="10"/>
        <rFont val="Times New Roman"/>
        <family val="1"/>
        <charset val="204"/>
      </rPr>
      <t xml:space="preserve"> 03563000001900003_ 95839 от 04.06.2019, срок выполнения работ 15.07.2020</t>
    </r>
  </si>
  <si>
    <t>Ремонт автомобильной дороги "Григоревское-Покровское" (участок км01+142 -км 03+231)</t>
  </si>
  <si>
    <t>Муниципальный контракт с ООО Комос № 03563000001900003_ 95839 от 04.06.2019, срок выполнения работ 15.07.2020. Стоимость ремонта на 2020 год составляет 14230,96188 из ни местный бюджет 1439,3 краевой 12791,63888 тыс.руб.</t>
  </si>
  <si>
    <t>Ремонт участка автомобильной дороги по ул. Специалистов с.Мокино</t>
  </si>
  <si>
    <t>По постановлению 524 от 07.08.2019 на 2021 год выделили ср-ва 13223,00 тыс.руб.-90% к ним 10-% 1469,22Необходимо селать подездную дорогу к новой школе, 210 п.м. В настоящее время дорога гравийная, планируется устройство тротуара и 5 столобов освещения.</t>
  </si>
  <si>
    <t>Ремонт съезда в д. Опалиха</t>
  </si>
  <si>
    <t>общая стоимость ремонта 1470,57556</t>
  </si>
  <si>
    <t>общая стоимость ремонта 366,490</t>
  </si>
  <si>
    <t>Ремонт ул. Молодежная ст. Чайковская</t>
  </si>
  <si>
    <t>общая стоимость ремонта 1698,59333</t>
  </si>
  <si>
    <t>Ремонт ул Полевая д.Н.Гаревая</t>
  </si>
  <si>
    <t>общая стоимость ремонта 401,570</t>
  </si>
  <si>
    <t>Ремонт ул.Мира с. Шерья</t>
  </si>
  <si>
    <t>общая стоимость ремонта 1123,47222</t>
  </si>
  <si>
    <t>Основное мероприятие 1.4. Строительство, реконструкция автомобильных дорог и сооружений на них</t>
  </si>
  <si>
    <t>07 1 04 00000</t>
  </si>
  <si>
    <t>Мепроприятие 1.4.1 "Устройство тротуара по улице Торговая г. Нытва"</t>
  </si>
  <si>
    <t>07 1 04 2Н130</t>
  </si>
  <si>
    <t>Устройство тротуаров,км</t>
  </si>
  <si>
    <t>протяженность 1,3 км. решение суда</t>
  </si>
  <si>
    <t>Мепроприятие 1.4.2   Разработка ПСД по устройству тротуара с ограждениями в с.Шумиха на автомобильной дороге "Подъезд к Перми от а/д "Волга"-Шумиха</t>
  </si>
  <si>
    <t>07 1 04 2Н140</t>
  </si>
  <si>
    <t>решение суда</t>
  </si>
  <si>
    <t>Мепроприятие 1.4.3   Устройства тротуара с ограждениями в с.Шумиха на автомобильной дороге "Подъезд к Перми от а/д "Волга"-Шумиха</t>
  </si>
  <si>
    <t>07 1 04 2Н150</t>
  </si>
  <si>
    <t>Мепроприятие 1.4.4    Устройства освещения на автомобильной дороге с.Шумиха на автомобильной дороге "Подъезд к Перми от а/д "Волга"-Шумиха</t>
  </si>
  <si>
    <t>07 1 04 2Н160</t>
  </si>
  <si>
    <t>Устройство освещения на автомобильных дорогах,км</t>
  </si>
  <si>
    <t>07 1 04 ST040</t>
  </si>
  <si>
    <t>Реконструкция автомобильных дорог ,км</t>
  </si>
  <si>
    <t>Реконструкция автомобильной дороги ул. Комсомольская г. Нытва</t>
  </si>
  <si>
    <t>Реконструкция мостовых сооружений, шт</t>
  </si>
  <si>
    <t>Реконструкция моста, входящего в состав дороги, проходящей по гебню плотины ГТС водохранилища на р. Нытва в г. Нытва</t>
  </si>
  <si>
    <t>Всего стоимость ремонта моста составляе 79315,3 тыс.руб., средства мсетного бюджета 7931,5 тыс.руб., из них средства на ПСД 2019 год 4600,0 тыс.руб.. Предполагается использовать средства по порядку 764-п плюс бонусы 62287,5 тыс.руб., остальные средства краевого бюджета по порядку 10-п</t>
  </si>
  <si>
    <t>Реконструкция автомобильной дороги "Григорьевское-Постаноги" со съездами в д. Зенки и в д. Агапово (участок км 3+500-км 13+400)</t>
  </si>
  <si>
    <t>Подпрограмма 2 Обеспечение реализации муниципальной программы</t>
  </si>
  <si>
    <t>Основное мероприятие 2.1. Обеспечение деятельности казенных учреждений</t>
  </si>
  <si>
    <t>Уровень исполнения целевых показателей,%</t>
  </si>
  <si>
    <t>Не менее 95</t>
  </si>
  <si>
    <t>Мероприятие 2.1.1. Содержание казенных учреждений</t>
  </si>
  <si>
    <t>07 2 01 00110</t>
  </si>
  <si>
    <t xml:space="preserve">Процент освоения субсидий, 
предоставленных органам местного 
самоуправления на реализацию муниципальных программ
инвестиционных и приоритетных 
региональных проектов (перечислено в  
муниципальные бюджеты от годовых 
ассигнований),%
</t>
  </si>
  <si>
    <t>Не менее 100</t>
  </si>
  <si>
    <t>Содержание дорог</t>
  </si>
  <si>
    <t>Ремонт а/д</t>
  </si>
  <si>
    <t>Дорожный фонд</t>
  </si>
  <si>
    <t>содержание УКС</t>
  </si>
  <si>
    <t>Итого по Муниципальной программе</t>
  </si>
  <si>
    <t>Финансовое обеспечение реализации Муниципальной программы    "Экономическое развитие Нытвенского городского округа"</t>
  </si>
  <si>
    <t>Расходы тыс.рублей</t>
  </si>
  <si>
    <t xml:space="preserve">Подпрограмма 1 "Формирование благоприятной инвестиционной среды </t>
  </si>
  <si>
    <t>Основное мероприятие  1.1."Обеспечение информирования о ТОСЭР «Нытва»"</t>
  </si>
  <si>
    <t>11 1 0 100000</t>
  </si>
  <si>
    <t>Количество привлеченных новых резидентов на территорию Нытвенского городского округа, ед</t>
  </si>
  <si>
    <t>Мероприятие "Участие руководителей в выездных совещаниях, семинарах, круглых столах (транспортные расходы, проживание)"</t>
  </si>
  <si>
    <t>11 1 01 2Л010</t>
  </si>
  <si>
    <t>Количество привлеченных новых резидентов на территорию Нытвенского городского округа, ед.</t>
  </si>
  <si>
    <t xml:space="preserve">Мероприятие "Размещение информации в СМИ и на официальном сайте ТОСЭР «Нытва» </t>
  </si>
  <si>
    <t>11 1 01 2Л020</t>
  </si>
  <si>
    <t>Мероприятие "Обеспечение информационной печатной и рекламной продукции"</t>
  </si>
  <si>
    <t>11 1 01 2Л030</t>
  </si>
  <si>
    <t>Основное мероприятие 1.2. "Формирование земельных участков для реализации инвестиционных проектов"</t>
  </si>
  <si>
    <t>Количество созданных новых рабочих мест за счет освоения новых производств, открытия новых предприятий, ед</t>
  </si>
  <si>
    <t>Мероприятие "Межевание земельных участков для реализации инвестиционных проектов"</t>
  </si>
  <si>
    <t>11 1 02 2Л040</t>
  </si>
  <si>
    <t>Инвестиции в основной капитал, млн. руб.</t>
  </si>
  <si>
    <t>Основное мероприятие 1. 3 «Создание инженерной и коммунальной инфраструктуры для реализации инвестиционных проектов»</t>
  </si>
  <si>
    <t>11 1 03 00000</t>
  </si>
  <si>
    <t>Обеспеченность инвестиционных площадок  объектами инженерно-коммунальной инфраструктуры,ед.</t>
  </si>
  <si>
    <t>11 1 03 2Л050</t>
  </si>
  <si>
    <t>Обеспеченность инвестиционных площадок  объектами инженерно-коммунальной инфраструктуры, ед</t>
  </si>
  <si>
    <t>11 1 03 2Л060</t>
  </si>
  <si>
    <t>11 1 03 2Л070</t>
  </si>
  <si>
    <t>1.3.4</t>
  </si>
  <si>
    <t>11 1 03 2Л080</t>
  </si>
  <si>
    <t>Подпрограмма 2 "Развите малого и среднего предпринимательства"</t>
  </si>
  <si>
    <t xml:space="preserve"> 11 2 00 00000</t>
  </si>
  <si>
    <r>
      <t>Основное мероприятие 2.1</t>
    </r>
    <r>
      <rPr>
        <sz val="12"/>
        <color theme="1"/>
        <rFont val="Times New Roman"/>
        <family val="1"/>
        <charset val="204"/>
      </rPr>
      <t>. «Стимулирование и поддержка инновационной экономической активности субъектов малого и среднего предпринимательства»</t>
    </r>
  </si>
  <si>
    <t xml:space="preserve">Увеличение количества субъектов малого и среднего предпринимательства, получивших возмещение части затрат  
на оказание услуг социального предпринимательства до 6 ед. в год к 2022 году;                                                                                                                                                                                                                                               
</t>
  </si>
  <si>
    <t>2.1.1.1</t>
  </si>
  <si>
    <t>«Субсидирование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 (далее соответственно - центр времяпрепровождения детей, субсидия на создание и (или) развитие центра времяпрепровождения детей)»</t>
  </si>
  <si>
    <t>2.1.1.2</t>
  </si>
  <si>
    <t>«Субсидирование части затрат субъектов малого и среднего предпринимательства, связанных с созданием и (или) развитием дошкольных образовательных центров, осуществляющих образовательную деятельность по программам дошкольного образования, а также присмотру и уходу за детьми в соответствии с законодательством Российской Федерации (далее соответственно - дошкольный образовательный центр, субсидия на создание и (или) развитие дошкольного образовательного центра)»</t>
  </si>
  <si>
    <t>2.1.1.3</t>
  </si>
  <si>
    <t>«Субсидирование части затрат субъектов социального предпринимательства»</t>
  </si>
  <si>
    <r>
      <t xml:space="preserve">Основное мероприятие 2.2 </t>
    </r>
    <r>
      <rPr>
        <sz val="12"/>
        <color theme="1"/>
        <rFont val="Times New Roman"/>
        <family val="1"/>
        <charset val="204"/>
      </rPr>
      <t>«Оказание информационной, образовательной и консультационной поддержки субъектов малого и среднего предпринимательства»</t>
    </r>
  </si>
  <si>
    <t>11 2 02 00000</t>
  </si>
  <si>
    <t xml:space="preserve">Увеличение количества проведенных круглых столов, семинаров, конференций по проблемам развития малого и среднего предпринимательства (мероприятий) до 8 ед. год к 2022 году;
Сохранение количества размещенных в СМИ, официальном сайте администрации городского   округа сообщений, информационных материалов для граждан и субъектов малого и среднего предпринимательства о развитии предпринимательства в округе ежегодно на уровне 24 ед
</t>
  </si>
  <si>
    <t>11 2 02 2Л090</t>
  </si>
  <si>
    <t>2.2.2</t>
  </si>
  <si>
    <t>11 2 02 2Л100</t>
  </si>
  <si>
    <t>не менее 24</t>
  </si>
  <si>
    <t>2.2.3</t>
  </si>
  <si>
    <t>11 2 02 2Л110</t>
  </si>
  <si>
    <r>
      <t>Основное мероприятие 2.3</t>
    </r>
    <r>
      <rPr>
        <sz val="12"/>
        <color theme="1"/>
        <rFont val="Times New Roman"/>
        <family val="1"/>
        <charset val="204"/>
      </rPr>
      <t xml:space="preserve"> Имущественная поддержка субъектов малого и среднего предпринимательства»</t>
    </r>
  </si>
  <si>
    <t>11 2 03 00000</t>
  </si>
  <si>
    <t>Мероприятие 2.3.1. «  »</t>
  </si>
  <si>
    <t xml:space="preserve"> 11 2 03 2Л130</t>
  </si>
  <si>
    <r>
      <t>Основное мероприятие 2.3.</t>
    </r>
    <r>
      <rPr>
        <sz val="12"/>
        <color theme="1"/>
        <rFont val="Times New Roman"/>
        <family val="1"/>
        <charset val="204"/>
      </rPr>
      <t xml:space="preserve"> «Привлечение школьников в предпринимательскую деятельность»</t>
    </r>
  </si>
  <si>
    <t>11 2 03 0000</t>
  </si>
  <si>
    <t>Обеспечение проведения мероприятий для школьников к 2022 году ежегодно в количестве 2 ед</t>
  </si>
  <si>
    <t>11 2 03 2Л120</t>
  </si>
  <si>
    <t>11 2 03 2Л130</t>
  </si>
  <si>
    <t>Подпрограмма 3 «Развитие потребительского рынка»</t>
  </si>
  <si>
    <r>
      <rPr>
        <b/>
        <sz val="12"/>
        <color theme="1"/>
        <rFont val="Times New Roman"/>
        <family val="1"/>
        <charset val="204"/>
      </rPr>
      <t>Основное мероприятие 3.1</t>
    </r>
    <r>
      <rPr>
        <sz val="12"/>
        <color theme="1"/>
        <rFont val="Times New Roman"/>
        <family val="1"/>
        <charset val="204"/>
      </rPr>
      <t xml:space="preserve"> «Развитие сферы потребительского рынка по доставке социально – значимых товаров и оказанию услуг мобильной торговли в отдаленных и малонаселенных пунктах Нытвенского городского округа»</t>
    </r>
  </si>
  <si>
    <t>Доля сельских населенных пунктов, в которые организована доставка социально значимых товаров, от общего количества населенных пунктов Нытвенского городского округа ежегодно на уровне  42 %</t>
  </si>
  <si>
    <t>11 3 01 2Л140</t>
  </si>
  <si>
    <t>Подпрограмма 4 «Разработка документов стратегического планирования»</t>
  </si>
  <si>
    <t>11 4 00 00000</t>
  </si>
  <si>
    <r>
      <rPr>
        <b/>
        <sz val="12"/>
        <color theme="1"/>
        <rFont val="Times New Roman"/>
        <family val="1"/>
        <charset val="204"/>
      </rPr>
      <t>Основное мероприятие 4.1</t>
    </r>
    <r>
      <rPr>
        <sz val="12"/>
        <color theme="1"/>
        <rFont val="Times New Roman"/>
        <family val="1"/>
        <charset val="204"/>
      </rPr>
      <t xml:space="preserve"> «Разработка Стратегии развития Нытвенского городского округа»</t>
    </r>
  </si>
  <si>
    <t>11 4 01 00000</t>
  </si>
  <si>
    <t>Наличие Стратегии социально-экономического развития Нытвенского городского округа до 2030 года</t>
  </si>
  <si>
    <t>412</t>
  </si>
  <si>
    <t>11 4 01 2Л150</t>
  </si>
  <si>
    <t>Мероприятие  «Строительство системы теплоснабжения (котельное хозяйство) для инвестиционных проектов.</t>
  </si>
  <si>
    <t>Мероприятие  «Реконструкция автомобильных дорог: "Нытва-Новоильинский - п. Солнечный, от Лесхоза до комбината строительных конструкций, участок дороги от Баталовского моста до ул. Восточная, по ул. Луговая"</t>
  </si>
  <si>
    <t>Мероприятие  «Строительство подъезда к производственным площадкам»</t>
  </si>
  <si>
    <t>Мероприятие «Обеспечение энергоснабжением инвестиционных площадок»</t>
  </si>
  <si>
    <t xml:space="preserve">Мероприятие  «Участие в выездных совещаниях, форумах, круглых столах» </t>
  </si>
  <si>
    <t>Мероприятие  «Информационное обеспечение предпринимательства»</t>
  </si>
  <si>
    <t>Мероприятие «Проведение семинаров, круглых столов с представителями малого и среднего бизнеса по вопросам изменения налогообложения, законодательных и других нормативно-правовых актов, обмену опытом»</t>
  </si>
  <si>
    <t>Мероприятие  «Развитие деятельности бизнес-игры среди школьников»</t>
  </si>
  <si>
    <t>Мероприятие  «Конкурс школьных и молодежных исследовательских работ»</t>
  </si>
  <si>
    <t>Мероприятие «Предоставление субсидий на возмещение части затрат  субъектам МСП, занимающимся доставкой товаров в отдаленные и малонаселенные сельские пункты »</t>
  </si>
  <si>
    <t>Мероприятие  «Выполнение научно-исследовательской работы «Разработка Стратегии социально-экономического развития Нытвенского городского округа до 2030 г.».</t>
  </si>
  <si>
    <t>наименование муниципальной программы</t>
  </si>
  <si>
    <t>Финансирование Муниципальной программы "Развитие жилищно-коммунального хозяйства и транспорта Нытвенского городского округа"</t>
  </si>
  <si>
    <t>Наименование муниципальных программ, подпрограмм, основных мероприятий, направлений расходов ( в соответствии с программой)</t>
  </si>
  <si>
    <t xml:space="preserve">Расходы, тыс. руб. </t>
  </si>
  <si>
    <t>Предложения по уточнению</t>
  </si>
  <si>
    <t>Расходы, тыс. руб.</t>
  </si>
  <si>
    <t>Решение</t>
  </si>
  <si>
    <t>13=10-7</t>
  </si>
  <si>
    <t>14=11-8</t>
  </si>
  <si>
    <t>15=12-9</t>
  </si>
  <si>
    <t>1</t>
  </si>
  <si>
    <t>Подпрограмма  "Обеспечение качественным жильем"</t>
  </si>
  <si>
    <t>09 1 00 00000</t>
  </si>
  <si>
    <t>Основное мероприятие "Поддержка жилищного хозяйства"</t>
  </si>
  <si>
    <t>09 1 01 00000</t>
  </si>
  <si>
    <t>Мероприятие «Содержание и текущий ремонт муниципального жилья»</t>
  </si>
  <si>
    <t xml:space="preserve">Количество семей, снятых с учета по причине, заключения договора социального найма </t>
  </si>
  <si>
    <t>Мероприятие "Взносы на капитальный ремонт муниципального жилья"</t>
  </si>
  <si>
    <t>Доля муниципального жилья, пригодного для проживания</t>
  </si>
  <si>
    <t>Мероприятие  «Обследование многоквартирных домов специализированной организацией и выдача заключений»</t>
  </si>
  <si>
    <t>Необходимо для признания/непризнания домов аварийными</t>
  </si>
  <si>
    <t>Мероприятие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</si>
  <si>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09 1 01 SP040</t>
  </si>
  <si>
    <t xml:space="preserve">Доля исполненных судебных решений по вопросу обеспечения жильем </t>
  </si>
  <si>
    <t>"Приобретение жилых помещений для предоставления их по договору социального найма"</t>
  </si>
  <si>
    <t>В 206-п</t>
  </si>
  <si>
    <t>1.1.5</t>
  </si>
  <si>
    <t xml:space="preserve"> Мероприятие "Приобретение жилых помещений в муниципальную собственность"</t>
  </si>
  <si>
    <t>1.1.6</t>
  </si>
  <si>
    <t>Мероприятие  "Предоставление социальной выплаты граждан для переселения из аварийного дома по адресу г. Нытва, пр. Ленина, д. 48"</t>
  </si>
  <si>
    <t>Уменьшение количества аварийных домов (строений)</t>
  </si>
  <si>
    <t>1.1.7</t>
  </si>
  <si>
    <t>1.1.8</t>
  </si>
  <si>
    <t>Мероприятие  "Отчет об оценке объекта в рамках исполнения условий адресной программы переселение из аварийного жилья"</t>
  </si>
  <si>
    <t>1.1.9</t>
  </si>
  <si>
    <t>Мероприятие  "Снос аварийных домов в рамках исполнения условий адресной программы переселение из аврийного жилья"</t>
  </si>
  <si>
    <t>Подпрограмма "Развитие коммунально-инженерной инфраструктуры"</t>
  </si>
  <si>
    <t>Доля ветхих сетей водоснабжения</t>
  </si>
  <si>
    <t>Основное мероприятие "Развитие и содержание систем водоснабжения и водоотведения"</t>
  </si>
  <si>
    <t>Мероприятие  "Реализация муниципальных программ развития преобразованных муниципальных образований"</t>
  </si>
  <si>
    <t>09 2 01 SP180</t>
  </si>
  <si>
    <t xml:space="preserve"> "Приобретение для муниципальных нужд объектов недвижимости с условием о залоге"</t>
  </si>
  <si>
    <t>Ремонт водопроводных сетей</t>
  </si>
  <si>
    <t>Установка башни Рожневского и ремонт системы водоснабжения пос. Новоильинск</t>
  </si>
  <si>
    <t>Ремонт водопровода и пожарных гидрантов с.Шерья</t>
  </si>
  <si>
    <t>Реконструкция сетей водоснабжения д. Постаноги (замена водонапорной башни-2021г, прокладка  водопроводной сети  500м. – 2021г.)</t>
  </si>
  <si>
    <t>Мероприятие "Ремонт водопроводных и канализационных сетей"</t>
  </si>
  <si>
    <t>Мероприятие  "Содержание водопроводных сетей"</t>
  </si>
  <si>
    <t>2.1.4</t>
  </si>
  <si>
    <t>Мероприятие  "Разработка ПСД"</t>
  </si>
  <si>
    <t>Для вступления в программы необходимы ПСД</t>
  </si>
  <si>
    <t>2.1.5</t>
  </si>
  <si>
    <t>Мероприятие  "Разработка ЗСО"</t>
  </si>
  <si>
    <t>Выполнение решений суда</t>
  </si>
  <si>
    <t>2.1.6</t>
  </si>
  <si>
    <t>Мероприятие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</si>
  <si>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09 2 01 SP040</t>
  </si>
  <si>
    <t>Основное мероприятие "Развитие и содержание систем теплоснабжения"</t>
  </si>
  <si>
    <t>09 2 02 00000</t>
  </si>
  <si>
    <t xml:space="preserve">Доля ветхих тепловых сетей </t>
  </si>
  <si>
    <t>Мероприятие  "Содержание тепловых сетей"</t>
  </si>
  <si>
    <t>09 2 02 SP180</t>
  </si>
  <si>
    <t>2.2.2.1</t>
  </si>
  <si>
    <t xml:space="preserve">Ремонт тепловых сетей </t>
  </si>
  <si>
    <t>2.2.3.1</t>
  </si>
  <si>
    <t xml:space="preserve"> "Разработка проектно-сметной документации на реконструкцию участка ТМ 4 от тепловой камеры ТК 4-04-а (пр. Металлургов) до ТК 4-07 правобережная часть"</t>
  </si>
  <si>
    <t>Участие в конкурсном отборе по 318-п</t>
  </si>
  <si>
    <t>2.2.3.2</t>
  </si>
  <si>
    <t xml:space="preserve"> "Разработка проектно-сметной документации на строительство блочно-модульной котельной мощностью 3,9 МВт в районе здания ЦТП по адресу г. Нытва, ул. К. Либкнехта, 118/5 с реконструкцией тепловой магистрали №3 левобережной части"</t>
  </si>
  <si>
    <t>2.2.3.3</t>
  </si>
  <si>
    <t>"Разработка проектно-сметной документации на реконструкцию участка ТМ 2 от тепловой камеры ТК 2-09 (пр. Ленина) до ТК 2-16 (ул. Оборина) правобережная часть"</t>
  </si>
  <si>
    <t>2.2.3.4</t>
  </si>
  <si>
    <t>"Разработка проектно-сметной документации на реконструкцию участка ТМ 3 от тепловой камеры ТК 3-11 (ул. Комсомольская) до ТК 3-19 (ул. Октября) левобережная часть"</t>
  </si>
  <si>
    <t>2.2.3.5</t>
  </si>
  <si>
    <t>"Разработка проектно-сметной документации по объекту  «Строительство газовой котельной в пос. Новоильинский Нытвенского района Пермского края"</t>
  </si>
  <si>
    <t>2.2.3.6</t>
  </si>
  <si>
    <t>Строительство модульной  газовой котельной</t>
  </si>
  <si>
    <t>Основное мероприятие "Развитие и содержание газопроводов"</t>
  </si>
  <si>
    <t>09 2 03 00000</t>
  </si>
  <si>
    <t>Доля домов, обеспеченных газоснабжением</t>
  </si>
  <si>
    <t>Мероприятие "Содержание газовых сетей"</t>
  </si>
  <si>
    <t>Мероприятие "Разработка ПСД для строительства газопроводов"</t>
  </si>
  <si>
    <t>Необходима разработка ПСД для вхождения в программы</t>
  </si>
  <si>
    <t>2.3.3</t>
  </si>
  <si>
    <t>Мероприятие "Технологическое присоединение к газораспределительным сетям здания школы с. Мокино"</t>
  </si>
  <si>
    <t>2.3.4</t>
  </si>
  <si>
    <t>Мероприятие "Проведение проектных работ и строительство распределительных газопроводов на территории муниципальных образований Пермского края"</t>
  </si>
  <si>
    <t>2.3.4.1</t>
  </si>
  <si>
    <t>"Распределительные сети газопроводовдля газоснабжения с. Покровское Нытвенского района Пермского края"</t>
  </si>
  <si>
    <t>2.3.5</t>
  </si>
  <si>
    <t>09 2 03 SP040</t>
  </si>
  <si>
    <t>2.3.5.1</t>
  </si>
  <si>
    <t>Строительство распределительных сетей газопроводов для газоснабжения жилых домов г.Нытва (V пусковой)</t>
  </si>
  <si>
    <t>2.3.5.2</t>
  </si>
  <si>
    <t>Строительство распределительных сетей газопроводов для газоснабжения жилых домов г.Нытва (VI пусковой)</t>
  </si>
  <si>
    <t>Основное мероприятие "Приобретение коммунальной техники"</t>
  </si>
  <si>
    <t>09 2 04 00000</t>
  </si>
  <si>
    <t>включено в программу развития</t>
  </si>
  <si>
    <t>Доля обеспеченности спецтехникой</t>
  </si>
  <si>
    <t>Мероприятие "Реализация муниципальных программ развития преобразованных муниципальных образований"</t>
  </si>
  <si>
    <t>09 2 04 SP180</t>
  </si>
  <si>
    <t>2.4.1.1</t>
  </si>
  <si>
    <t>2.4.1.2</t>
  </si>
  <si>
    <t>2.4.1.3</t>
  </si>
  <si>
    <t>2.4.1.4</t>
  </si>
  <si>
    <t>"Приобретение КО-503В-2 на базе автомобиля ГАЗ-3309 (или аналог)"</t>
  </si>
  <si>
    <t>Подпрограмма  "Развитие транспортной инфраструктуры"</t>
  </si>
  <si>
    <t>09 3 00 00000</t>
  </si>
  <si>
    <t>Доля населенных пунктов, имеющих регулярное автобусное сообщение с центром г. Нытва.</t>
  </si>
  <si>
    <t>Основное мероприятие  "Обновление автопарка"</t>
  </si>
  <si>
    <t>09 3 01 00000</t>
  </si>
  <si>
    <t>Мероприятие " Приобретение автобуса"</t>
  </si>
  <si>
    <t>0408</t>
  </si>
  <si>
    <t>3.2</t>
  </si>
  <si>
    <t>09 3 02 00000</t>
  </si>
  <si>
    <t>3.2.1</t>
  </si>
  <si>
    <t>09 3 02 2С260</t>
  </si>
  <si>
    <t>09 4 00 00000</t>
  </si>
  <si>
    <t>Уровень исполнения целевых показателей программы</t>
  </si>
  <si>
    <t>Основное мероприятие  "Обеспечение деятельности органов местного самоуправления"</t>
  </si>
  <si>
    <t>09 4 01 00000</t>
  </si>
  <si>
    <t>Мероприятияе "Содержание органов местного самоуправления"</t>
  </si>
  <si>
    <t>0505</t>
  </si>
  <si>
    <t>09 4 01 00090</t>
  </si>
  <si>
    <t>Мероприятие "Представительские расходы и расходы на мероприятия"</t>
  </si>
  <si>
    <t>"Приобретение эксковатора погрзчика"</t>
  </si>
  <si>
    <t>2.4.1.5</t>
  </si>
  <si>
    <t>Приобретение техники для коммунальных нужд</t>
  </si>
  <si>
    <t>4.1.3</t>
  </si>
  <si>
    <t>краевой бюджет</t>
  </si>
  <si>
    <t>местный бюджет</t>
  </si>
  <si>
    <t>Финансовое обеспечение реализации Муниципальной программы "Благоустройство территории Нытвенского городского округа"</t>
  </si>
  <si>
    <t>2020 год (прект)</t>
  </si>
  <si>
    <t>2021 год (прект)</t>
  </si>
  <si>
    <t>2022 год (прект)</t>
  </si>
  <si>
    <t>Муниципальная программа Нытвенского городского округа «Благоустройство территории Нытвенского городского округа»</t>
  </si>
  <si>
    <t>Подпрограмма  «Озеленение территории Нытвенского городского округа»</t>
  </si>
  <si>
    <t>Основное мероприятие «Мероприятия по благоустройству территории Нытвенского городского округа»</t>
  </si>
  <si>
    <t>0503</t>
  </si>
  <si>
    <t>Мероприятие «Содержание парков, аллей, клумб, газонов на территории Нытвенского городского округа»</t>
  </si>
  <si>
    <t>-</t>
  </si>
  <si>
    <t>Мероприятие  «Кронирование, удаление (вырубка) деревьев и кустарников по их санитарному состоянию (сухостойных, аварийных, упавших, потерявших декоративный вид), рекультивация мест после вырубки деревьев»</t>
  </si>
  <si>
    <t>ежегодное количество вырубленных, аварийных, деревьев, коронирование деревьев</t>
  </si>
  <si>
    <t>Мероприятие «Благоустройство пустырей (покос травы, вывоз скошенной травы)»</t>
  </si>
  <si>
    <t>благоустройство пустырей (м2)</t>
  </si>
  <si>
    <t>Мероприятие «Акарицидная обработка, дератизация территории»</t>
  </si>
  <si>
    <t>акарицидная обработка, дератизация территории (га)</t>
  </si>
  <si>
    <t xml:space="preserve">Мероприятие «Обработка территории от борщевика» </t>
  </si>
  <si>
    <t>Подпрограмма «Улучшение санитарного состояния территории Нытвенского городского округа»</t>
  </si>
  <si>
    <t>Основное мероприятие «Мероприятия по организации сбора,  вывоза бытовых отходов, мусора и организации мероприятий по контролю за соблюдением и соблюдению муниципальных правовых актов»</t>
  </si>
  <si>
    <t>Мероприятие «Уборка несанкционированных свалок»</t>
  </si>
  <si>
    <t>ежегожный объем вывозимого мусора с мест образования несанкционированных свлок (м3)</t>
  </si>
  <si>
    <t>Мероприятие «Содержание мест (площадок) накопления твердых коммунальных отходов»</t>
  </si>
  <si>
    <t>содержание мест (площадок) накопления твердых коммунальных отходов (ед)</t>
  </si>
  <si>
    <r>
      <t xml:space="preserve">Мероприятие « Мероприятия </t>
    </r>
    <r>
      <rPr>
        <sz val="10"/>
        <rFont val="Times New Roman"/>
        <family val="1"/>
        <charset val="204"/>
      </rPr>
      <t>по экологическому воспитанию населения и формированию экологической культуры в области обращения с твердыми коммунальными отходами»</t>
    </r>
  </si>
  <si>
    <t>мероприятия по экологическому воспитанию населения и формированию экологической культуры в области обращения с твердыми коммунальными отходами (м3)</t>
  </si>
  <si>
    <t>Мероприятие "Обустройство и санитарная очистка особо охраняемых природных территорий местного занчения"</t>
  </si>
  <si>
    <t>Мероприятие "Формирование устойчивого природоохранного сознания и поведения у населения, личной ответственности каждого за состояние окружающей среды"</t>
  </si>
  <si>
    <t>2.1.7</t>
  </si>
  <si>
    <t>Мероприятие "Проведение мероприятий в рамках ежегодной акции "Дни защиты от экологической опасности"</t>
  </si>
  <si>
    <t>Основное мероприятие «Проведение противоэпизоотических мероприятий»</t>
  </si>
  <si>
    <t>Мероприятия по отлову безнадзорных животных, их транспортировке, учету и регистрации, содержанию, лечению, кастрации (стерилизации), эвтаназии, утилизации</t>
  </si>
  <si>
    <t>отлов безнадзорных животных, их транспортировка, содержание, лечение, кастрация (стерилизация) (ед)</t>
  </si>
  <si>
    <t>Администрирование государственных полномочий по организации проведения мероприятий по отлову безнадзорных животных, их транспортировке, учету и регистрации, содержанию, лечению, кастрации (стерилизации), эвтаназии, утилизации</t>
  </si>
  <si>
    <t>Основное мероприятие «Мероприятия по содержанию мест захоронения»</t>
  </si>
  <si>
    <t>Мероприятие «Сбор и вывоз мусора с территории мест захоронения»</t>
  </si>
  <si>
    <t>ежегодный объем вывозимого мусора с мест захоронения Нытвенского городского округа (м3)</t>
  </si>
  <si>
    <t>Мероприятие «Благоустройство территории мест захоронения»</t>
  </si>
  <si>
    <t>благоустройство территории мест захоронения (м2)</t>
  </si>
  <si>
    <t>3.1.3</t>
  </si>
  <si>
    <t xml:space="preserve">Мероприятие «Установка и обслуживание емкостей для воды» </t>
  </si>
  <si>
    <t>установка и обслуживание емкостей для воды</t>
  </si>
  <si>
    <t>3.1.4</t>
  </si>
  <si>
    <t>Мероприятие «Акарицидная обработка и дератизация мест захоронения(погребения)»</t>
  </si>
  <si>
    <t>акарицидная обработка, дератизация мест захоронения (га)</t>
  </si>
  <si>
    <t>3.1.5</t>
  </si>
  <si>
    <t>Мероприятие «Вырубка, сбор и вывоз кустов, порослей с территории мест захоронения»</t>
  </si>
  <si>
    <t>вырубка, сбор и вывоз кустов, порослей с терриитории мест захоронения (м2)</t>
  </si>
  <si>
    <t>3.1.6</t>
  </si>
  <si>
    <t>Мероприятие «Вырубка аварийных деревьев на территории мест захоронения»</t>
  </si>
  <si>
    <t>вырубка аварийных деревьев на территории мест захоронения (шт)</t>
  </si>
  <si>
    <t>3.1.7</t>
  </si>
  <si>
    <t>Мероприятие «Обслуживание общественных туалетов на территории мест захоронения»</t>
  </si>
  <si>
    <t>3.1.8</t>
  </si>
  <si>
    <t>Мероприятие «Демонтаж незаконно установленных памятников надмогильных и мемориальных сооружений на территории мест захоронения»</t>
  </si>
  <si>
    <t>Основное мероприятие «Мероприятия по обустройству и ремонту  мест захоронения»</t>
  </si>
  <si>
    <t>Мероприятие «Приобретение и монтаж общественных туалетов на территории мест захоронения»</t>
  </si>
  <si>
    <t>Мероприятие «Устройство ограждений мест захоронения»</t>
  </si>
  <si>
    <t>3.2.3</t>
  </si>
  <si>
    <t>Мероприятие «Устройство информационных стендов вывесок, баннеров  в местах захоронений»</t>
  </si>
  <si>
    <t xml:space="preserve"> Подпрограмма 4: "Восстановление и поддержка технического состояния объектов благоустройства Нытвенского городского округа" </t>
  </si>
  <si>
    <t>Основное мероприятие "Ремонт объектов благоустройства Нытвенского городского округа"</t>
  </si>
  <si>
    <t>Мероприятие  «Реализация мцниципальных программ развития преобразованных муниципальных образований»</t>
  </si>
  <si>
    <t>"Ремонт памятников на территории Нытвенского городского округа"</t>
  </si>
  <si>
    <t>количество памятников приведенных в нормативное состояние (шт)</t>
  </si>
  <si>
    <t>Мероприятие  «Улучшение элементов благоустройства»</t>
  </si>
  <si>
    <t>Мероприятие «Приобретение и установка малых архитектурных форм»</t>
  </si>
  <si>
    <t>Основное мероприятие "Содержание объектов благоустройства"</t>
  </si>
  <si>
    <t>Мероприятие  «Проведение работ по подготовке к общегородским праздникам»</t>
  </si>
  <si>
    <t>4.2.2</t>
  </si>
  <si>
    <t>Мероприятие  "Содержание тротуаров, в границах населенных пунктов Нытвенского городского округа""</t>
  </si>
  <si>
    <t>4.2.3</t>
  </si>
  <si>
    <t>Подпрограмма 5: "Энергосбережение  и повышение энергетической эффективности в Нытвенском городском округе"</t>
  </si>
  <si>
    <t>Основное мероприятие «Мероприятия по обслуживанию наружного освещения»</t>
  </si>
  <si>
    <t>5.1.1</t>
  </si>
  <si>
    <t>Мероприятие «Технологическое присоединение к электрическим сетям»</t>
  </si>
  <si>
    <t>5.1.2</t>
  </si>
  <si>
    <t>5.1.3</t>
  </si>
  <si>
    <t>количество вынесенных щитов управления НО из ТП (шт)</t>
  </si>
  <si>
    <t>5.1.4</t>
  </si>
  <si>
    <t>Мероприятие  «Мероприятия по приобретение материалов для обслуживания наружного освещения»</t>
  </si>
  <si>
    <t>ежегодное количество замененных светильников</t>
  </si>
  <si>
    <t>5.1.5</t>
  </si>
  <si>
    <t>Мероприятие «Мероприятия по обслуживанию наружного освещения»</t>
  </si>
  <si>
    <t>количество замененных ламп</t>
  </si>
  <si>
    <t>5.1.6</t>
  </si>
  <si>
    <t>Мероприятие  «Мероприятия по обслуживанию щитов наружного освещения»</t>
  </si>
  <si>
    <t>5.1.7</t>
  </si>
  <si>
    <t>Мероприятие  «Оплата электроэнергии за уличное освещение »</t>
  </si>
  <si>
    <t>Основное мероприятие "Модернизация и ремонт сетей наружного освещения"</t>
  </si>
  <si>
    <t>5.2.1</t>
  </si>
  <si>
    <t>Ремонт сетей наружного освещения левобережной части г. Нытва</t>
  </si>
  <si>
    <t>Ремонт сетей наружного освещения правобережной части г. Нытва</t>
  </si>
  <si>
    <t>Ремонт сетей наружного освещения сельских территорий Нытвенского городского округа</t>
  </si>
  <si>
    <t>Подпрограмма 6: "Обеспечение реализации муниципальной программы"</t>
  </si>
  <si>
    <t>Основное мероприятие  "Обеспечение деятельности казенных учреждений"</t>
  </si>
  <si>
    <t>6.1.1</t>
  </si>
  <si>
    <t>Мероприятие "Содержание казенных учреждений"</t>
  </si>
  <si>
    <t xml:space="preserve">Число ДТП; число погибших в результате ДТП </t>
  </si>
  <si>
    <t>66/8</t>
  </si>
  <si>
    <t>65/8</t>
  </si>
  <si>
    <t>64/7</t>
  </si>
  <si>
    <t>052022Б210</t>
  </si>
  <si>
    <t>Уровень исполнения целевых показателей муниципальной программы</t>
  </si>
  <si>
    <t>052007Б360</t>
  </si>
  <si>
    <t>052022Б220</t>
  </si>
  <si>
    <t>052022Б230</t>
  </si>
  <si>
    <t>052022Б240</t>
  </si>
  <si>
    <t>052003Б250</t>
  </si>
  <si>
    <t>052003Б260</t>
  </si>
  <si>
    <t>2.3.3. Обучение должностных лиц администрации района и подведомственных учреждений по вопросам противодействия экстремизму и профилактике  терроризма в организациях, имеющих лицензию на данный вид деятельности.</t>
  </si>
  <si>
    <t>052003Б270</t>
  </si>
  <si>
    <t>уровень преступности</t>
  </si>
  <si>
    <t>Доля несовершеннолетних, возрастом от 14 до 18 лет, совершивших правонарушения и преступления в общей численности несовершеннолетних</t>
  </si>
  <si>
    <t>052004Б290</t>
  </si>
  <si>
    <t>052004Б300</t>
  </si>
  <si>
    <t>052004Б310</t>
  </si>
  <si>
    <t>052005Б320</t>
  </si>
  <si>
    <t xml:space="preserve">2.6.1. Проведение мероприятий по профилактике алкоголизма,  наркомании, токсикомании, направленных на сокращение спроса на алкоголь, ПАВ, проведение семинаров по формированию здорового образа жизни, сопровождение несовершеннолетних, входящих в группу риска, потребляющих ПАВ </t>
  </si>
  <si>
    <t>0709, 0703</t>
  </si>
  <si>
    <t>052062Б340</t>
  </si>
  <si>
    <t>2.2.4. Проведение практических мероприятий по обеспечению безопасности населения при угрозе или возникновении ЧС природного и техногенного характера  на территории Нытвенского городского округа</t>
  </si>
  <si>
    <t>Сохранение водных биоресурсов</t>
  </si>
  <si>
    <t>Основное мероприятие 1.3."Предупреждение негативного воздействия поверхностных вод и аварий на гидротехнических сооружениях Нытвенского городского округа"</t>
  </si>
  <si>
    <t>Программа "Обеспечение безопасности жизнедеятельности  населения Нытвенского городского округа"</t>
  </si>
  <si>
    <t>Подпрограмма 1 "Защита населения и территорий Нытвенского городского округа от пожаров, катастроф, стихийных бедствий и совершенствование гражданской обороны"</t>
  </si>
  <si>
    <t>Финансовое обеспечение реализации Муниципальной программы  "Обеспечение безопасности жизнедеятельности населения НГО"</t>
  </si>
  <si>
    <t>08 1 00 00000</t>
  </si>
  <si>
    <t>927(ЖКХ)</t>
  </si>
  <si>
    <t>922 (Админ-УКС)</t>
  </si>
  <si>
    <t>925(РУО)</t>
  </si>
  <si>
    <t>925 (РУО)</t>
  </si>
  <si>
    <t>09 3 02 2Т060</t>
  </si>
  <si>
    <t>Отклонение связано с тем, что в 2019 году в утвержденном бюджете были запланированы только средства местного бюджета</t>
  </si>
  <si>
    <t>Основное мероприятие "Создание условий для обеспечения доступным и комфортным жильем сельского населения"</t>
  </si>
  <si>
    <t>Ввод (приобретение)  жилья для граждан, проживающих в сельской  местности</t>
  </si>
  <si>
    <t>90 кв.м</t>
  </si>
  <si>
    <t>180 кв.м</t>
  </si>
  <si>
    <t>270 кв.м</t>
  </si>
  <si>
    <t>местные</t>
  </si>
  <si>
    <t>в т.ч. молодых семей и молодых специалистов</t>
  </si>
  <si>
    <t xml:space="preserve"> - </t>
  </si>
  <si>
    <t>54 кв.м</t>
  </si>
  <si>
    <t>краевые</t>
  </si>
  <si>
    <t>Количество семей, улучшивших жилищные условия</t>
  </si>
  <si>
    <t>федеральные</t>
  </si>
  <si>
    <t>Подпрограмма "Развитие инфраструктуры и благоустройство сельских территорий НГО"</t>
  </si>
  <si>
    <t xml:space="preserve">  2.2.1</t>
  </si>
  <si>
    <t xml:space="preserve">  2.2.2</t>
  </si>
  <si>
    <t>Устройство освещения железнодорожного переезда п.Уральский</t>
  </si>
  <si>
    <t>925 (УКС)</t>
  </si>
  <si>
    <t xml:space="preserve">  2.2.3</t>
  </si>
  <si>
    <t>Газоснабжение жилых домов м-на Ельники п.Уральский Нытвенского района Пермского края</t>
  </si>
  <si>
    <t xml:space="preserve">  2.2.4</t>
  </si>
  <si>
    <t>Строительство газовых котлов для теплоснабжения детского сада и школы д.Шумиха Нытвенского района Пермского края</t>
  </si>
  <si>
    <t xml:space="preserve">  2.2.5</t>
  </si>
  <si>
    <t>Строительство газовых котлов для теплоснабжения дома досуга д.Шумиха Нытвенского района Пермского края</t>
  </si>
  <si>
    <t xml:space="preserve">  2.2.6</t>
  </si>
  <si>
    <t>Благоустройство территории под размещение ФАП д.Шумиха</t>
  </si>
  <si>
    <t xml:space="preserve">  2.2.7</t>
  </si>
  <si>
    <t>Приобретение школьного автобуса ПАЗ-32170</t>
  </si>
  <si>
    <t xml:space="preserve">  2.2.8</t>
  </si>
  <si>
    <t>Приобретение автобуса ПАЗ 32054 для Дома досуга д.Шумиха</t>
  </si>
  <si>
    <r>
      <rPr>
        <b/>
        <i/>
        <sz val="11"/>
        <rFont val="Times New Roman"/>
        <family val="1"/>
        <charset val="204"/>
      </rPr>
      <t>Основное мероприятие</t>
    </r>
    <r>
      <rPr>
        <b/>
        <sz val="11"/>
        <rFont val="Times New Roman"/>
        <family val="1"/>
        <charset val="204"/>
      </rPr>
      <t xml:space="preserve"> "Благоустройство сельских территорий"</t>
    </r>
  </si>
  <si>
    <t>Обустройство площадки накопления ТКО в пгт Уральский Нытвенского городского округа</t>
  </si>
  <si>
    <t>Обустройство площадки накопления ТКО в с. Шерья, Нытвенского городского округа</t>
  </si>
  <si>
    <t>Обустройство артезианской скважины. Нытвенский ГО пгт Уральский</t>
  </si>
  <si>
    <t>Обустройство артезианской скважины. Нытвенский ГО с. Шерья</t>
  </si>
  <si>
    <t>Организация пешеходных путей на территории д. Шумиха</t>
  </si>
  <si>
    <t>Организация пешеходных путей на территории с. Мокино</t>
  </si>
  <si>
    <t>Ремонт сетей наружного освещения в д. Нижняя Гаревая Нытвенского городского округа</t>
  </si>
  <si>
    <t>Благоустройство сквера в пгт Новоильинский Нытвенского ГО</t>
  </si>
  <si>
    <t>Проект инициативного бюджетирования "Благоустройство г. Нытва, ул.К.Маркса"</t>
  </si>
  <si>
    <t>Благоустройство  дворовых  территорий в г. Нытва по адресам: пр. Ленина, 1, 2, 3, 4, 34, 38, 40, 6, 7,  8, 20/1, 20/2,  27, 27/1,  ул.Комсомольская,29, 22, 25, 56,  ул. Луначарского, 9, ул.Коммунистическая,2а, ул.Т.Самуэли,4, 6, 8, ул.Ширинкина,20а, 25, 25а, ул.Мира,8, 20, 28, 30, 22, ул. М.Горького,20а, ул.Буденного,31</t>
  </si>
  <si>
    <t>Благоустройство территории общего пользования Нытвенского городского поселения по адресу: ул. К.Маркса</t>
  </si>
  <si>
    <t xml:space="preserve">Устройство тротуара в д. Гаревая  </t>
  </si>
  <si>
    <t xml:space="preserve">Освещение тротуара в д. Н.Гаревая </t>
  </si>
  <si>
    <t>Создание и обустройстов спортивной площадки "Доступный спорт" (модернизация спортивной лощадки на территории ООШ №2 г. Нытва)</t>
  </si>
  <si>
    <t>Организация освещения уличной территории "Свет в моем окне" Ремонт уличного освещения ул. Заречная, Садовая, Центральная, Лесная д. Удалы</t>
  </si>
  <si>
    <t>Организация освещения уличной территории "Со светом в будущее" Ремонт уличного освещения на ул. Тепличная, Восточная, Дальняя ст. Чайковская</t>
  </si>
  <si>
    <t xml:space="preserve">Создание и обустройство спортивной площадки "Возраст - здоровью не помеха" (установка 10 уличных тренажеров с теневым навесом) ст. Чайковская </t>
  </si>
  <si>
    <t xml:space="preserve">Создание и обустройство детской игровой площадки микрорайона Солнечный г. Нытва </t>
  </si>
  <si>
    <t>Обустройство площадки накопления ТКО в пгт Новоильинский Нытвенского городского округа</t>
  </si>
  <si>
    <t>Обустройство площадки накопления ТКО в с. Григорьевское, Нытвенского городского округа</t>
  </si>
  <si>
    <t>Обустройство общественных колодцев и водоразборных колонок (артезианская скважина в с. Григорьевское)</t>
  </si>
  <si>
    <t>Обустройство общественных колодцев и водоразборных колонок (артезианская скважина с. Мокино)</t>
  </si>
  <si>
    <t>Организация пешеходных дорожек и тротуаров на территории с. Григорьевское</t>
  </si>
  <si>
    <t>Организация пешеходных дорожек и тротуаров на территории с. Мокино</t>
  </si>
  <si>
    <t>Ремонт освещения уличной территории в д. Шумиха Нытвенского городского округа</t>
  </si>
  <si>
    <t xml:space="preserve">Создание и обустройство сквера в пгт Уральский </t>
  </si>
  <si>
    <t>Обустройство площадки накопления ТКО на станции пос. Чайковская Нытвенского городского округа</t>
  </si>
  <si>
    <t>Обустройство площадки накопления ТКО в д. Нижняя Гаревая, Нытвенского городского округа</t>
  </si>
  <si>
    <t>Обустройство общественных колодцев и водоразборных колонок (артезианская скважина на станции пос. Чайковская)</t>
  </si>
  <si>
    <t>Обустройство общественных колодцев и водоразборных колонок (артезианская скважина д. Нижняя Гаревая)</t>
  </si>
  <si>
    <t>Организация пешеходных дорожек и тротуаров а территории станции пос. Чайковская</t>
  </si>
  <si>
    <t>Организация пешеходных дорожек и тротуаров на территории с. Шумиха</t>
  </si>
  <si>
    <t xml:space="preserve">Организация освещения уличной территории на станции пос. Чайковская </t>
  </si>
  <si>
    <t xml:space="preserve">Организация освещения уличной территории в д. Нижняя Гаревая </t>
  </si>
  <si>
    <t xml:space="preserve">Создание и обустройство спортивной и детской игровой площадки на станции пос. Чайковская </t>
  </si>
  <si>
    <t>Всего по Муниципальной программе</t>
  </si>
  <si>
    <t>Предоставление социальной выплаты гражданам на строительство и приобретение жилья»</t>
  </si>
  <si>
    <t xml:space="preserve"> 1.1.1.1</t>
  </si>
  <si>
    <t>Финансовое обеспечение реализации Муниципальной программы «Создание условий для оказания медицинской помощи населению и профилактика социально-значимых заболеваний на территории Нытвенского городского округа»</t>
  </si>
  <si>
    <t>Муниципальная программе «Создание условий для оказания медицинской помощи населению и профилактика социально - значимых заболеваний на территории Нытвенского городского округа»</t>
  </si>
  <si>
    <r>
      <rPr>
        <b/>
        <sz val="9"/>
        <rFont val="Times New Roman"/>
        <family val="1"/>
        <charset val="204"/>
      </rPr>
      <t>Подпрограмма 1</t>
    </r>
    <r>
      <rPr>
        <sz val="9"/>
        <rFont val="Times New Roman"/>
        <family val="1"/>
        <charset val="204"/>
      </rPr>
      <t>«Профилактика социально-значимых заболеваний, в том числе формирование системы мотивации граждан к здоровому образу жизни в Нытвенском городском округе»</t>
    </r>
  </si>
  <si>
    <r>
      <rPr>
        <b/>
        <sz val="9"/>
        <rFont val="Times New Roman"/>
        <family val="1"/>
        <charset val="204"/>
      </rPr>
      <t>Основное мероприятие 1.1</t>
    </r>
    <r>
      <rPr>
        <sz val="9"/>
        <rFont val="Times New Roman"/>
        <family val="1"/>
        <charset val="204"/>
      </rPr>
      <t xml:space="preserve"> «Профилактика социально-значимых заболеваний, в том числе формирование системы мотивации граждан к здоровому образу жизни в Нытвенском городском округе»</t>
    </r>
  </si>
  <si>
    <t>0110100000</t>
  </si>
  <si>
    <t>Доля вновь выявленных ВИЧ-инфицированных к общему количеству обследованных</t>
  </si>
  <si>
    <t>Мероприятие 1.1.1 «Профилактика туберкулеза»</t>
  </si>
  <si>
    <t>915(ОК)</t>
  </si>
  <si>
    <t>011012Я010</t>
  </si>
  <si>
    <t>Охват населения в возрасте 15 лет и старше рентген флюорографическими осмотрами</t>
  </si>
  <si>
    <t>Мероприятие 1.1.2 «Профилактика ВИЧ-инфекции»</t>
  </si>
  <si>
    <t>011012Я020</t>
  </si>
  <si>
    <t>Охват профилактическим обследованием населения на ВИЧ-инфекцию</t>
  </si>
  <si>
    <t>Мероприятие 1.1.3 «Профилактика заболеваний, передающихся половым путем»</t>
  </si>
  <si>
    <t>011012Я030</t>
  </si>
  <si>
    <t xml:space="preserve">Мероприятие 1.1.4 «Укрепление общественного здоровья, включая профилактические осмотры и диспансеризацию» 
</t>
  </si>
  <si>
    <t>011012Я040</t>
  </si>
  <si>
    <t>Количество информационно -аналитических материалов, размещенных в средствах массовой информации на территории городского округа, официальных сайтах (страницах) о прохождении профилактических осмотров, включая диспансеризацию</t>
  </si>
  <si>
    <r>
      <rPr>
        <b/>
        <sz val="9"/>
        <rFont val="Times New Roman"/>
        <family val="1"/>
        <charset val="204"/>
      </rPr>
      <t>Подпрограмма 2</t>
    </r>
    <r>
      <rPr>
        <sz val="9"/>
        <rFont val="Times New Roman"/>
        <family val="1"/>
        <charset val="204"/>
      </rPr>
      <t xml:space="preserve"> «Создание благоприятных условий в целях привлечения медицинских работников для работы в учреждении здравоохранения Пермского края, расположенном на территории Нытвенского городского округа, и создание условий для оказания медицинской помощи населению»
</t>
    </r>
  </si>
  <si>
    <t>0120000000</t>
  </si>
  <si>
    <t>Количество семей медицинских работников, проживающих в специализированном муниципальном жилищном фонде</t>
  </si>
  <si>
    <r>
      <rPr>
        <b/>
        <sz val="9"/>
        <rFont val="Times New Roman"/>
        <family val="1"/>
        <charset val="204"/>
      </rPr>
      <t>Основное мероприятие 2.</t>
    </r>
    <r>
      <rPr>
        <sz val="9"/>
        <rFont val="Times New Roman"/>
        <family val="1"/>
        <charset val="204"/>
      </rPr>
      <t>1 «Привлечение и закрепление медицинских кадров»</t>
    </r>
  </si>
  <si>
    <t>Увеличение численности среднего медицинского персонала государственного бюджетного учреждения здравоохранения, расположенного на территории Нытвенского городского округа, за счет принятия на работу выпускников учреждений среднего профессионального образования, получавших частичную денежную компенсацию по оплате за обучение за счет бюджета городского округа</t>
  </si>
  <si>
    <t>Мероприятие 2.1.1 «Предоставление частичной денежной компенсации по оплате жилого помещения по договору найма»</t>
  </si>
  <si>
    <t>902 (адм.)</t>
  </si>
  <si>
    <t>012012Я050</t>
  </si>
  <si>
    <t>Количество медицинских работников, получающих частичную денежную компенсацию по оплате жилого помещения по договору найма в рамках реализации Программы</t>
  </si>
  <si>
    <t>Мероприятие 2.1.2 «Предоставление частичной денежной компенсации по оплате за обучение в образовательных учреждениях среднего профессионального образования»</t>
  </si>
  <si>
    <t>012012Я060</t>
  </si>
  <si>
    <t>Количество студентов, обучающихся в учреждениях среднего профессионального образования, ежегодно получающих частичную денежную компенсацию по оплате за обучение в рамках реализации Программы</t>
  </si>
  <si>
    <r>
      <rPr>
        <b/>
        <sz val="9"/>
        <rFont val="Times New Roman"/>
        <family val="1"/>
        <charset val="204"/>
      </rPr>
      <t xml:space="preserve">Основное мероприятие 2.2 </t>
    </r>
    <r>
      <rPr>
        <sz val="9"/>
        <rFont val="Times New Roman"/>
        <family val="1"/>
        <charset val="204"/>
      </rPr>
      <t xml:space="preserve">«Размещение на территории городского округа модульных фельдшерско-акушерских пунктов, врачебных амбулаторий» </t>
    </r>
  </si>
  <si>
    <t xml:space="preserve">Мероприятие 2.2.1
«Реализация мероприятий по созданию условий осуществления медицинской деятельности в модульных зданиях»
</t>
  </si>
  <si>
    <t>012022Я060</t>
  </si>
  <si>
    <t>Ввод в эксплуатацию модульных  зданий</t>
  </si>
  <si>
    <t>"Развитие системы образования Нытвенского городского округа"</t>
  </si>
  <si>
    <t>Муниципальная Программа "Развитие системы образования Нытвенского городского округа"</t>
  </si>
  <si>
    <t>Удовлетворенность населения доступностью и качеством услуг дошкольного, общего образования, дополнительного образования по итогам опросов общественного мнения, %</t>
  </si>
  <si>
    <t>Доля детей от 1 до 7 лет, стоящих в очереди в дошкольные образовательные организации, %</t>
  </si>
  <si>
    <t>Обеспечение питанием детей с ограниченными возможностями здоровья в дошкольных организациях</t>
  </si>
  <si>
    <t>02 1 01 2Д050</t>
  </si>
  <si>
    <t>02 2 01 2Д060</t>
  </si>
  <si>
    <t>Доля выпускников 11-классов, получивших аттестаты о среднем общем образовании (%)</t>
  </si>
  <si>
    <t>Доля учащихся, получивших 225 баллов и выше по результатам ЕГЭ по трем предметам, по отношению ко всем обучающимся, сдающим ЕГЭ</t>
  </si>
  <si>
    <t>Организация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муниципальных общеобразовательных учреждениях со специальным наименованием "специальное учебно-воспитательное учреждение"и муниципальных санаторных общеобразовательных учреждениях</t>
  </si>
  <si>
    <t>Строительство (реконструкция) объектов общественной инфраструктурымуниципального значения,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t>
  </si>
  <si>
    <t>02 2 01 SH070</t>
  </si>
  <si>
    <t xml:space="preserve">в т.ч. Краевой бюджет </t>
  </si>
  <si>
    <t>в т.ч.Целевая субсидия</t>
  </si>
  <si>
    <t>Подпрограмма  3."Развитие системы воспитания и дополнительного образования"</t>
  </si>
  <si>
    <t>Улучшение материально-технической базы учреждений для реализации программ дополнительного образования в сетевой форме (Центр "Точка роста"), кол-во учр.</t>
  </si>
  <si>
    <t>Доля детей, обучающихся по современым программам дополнительного образования детей, соответствующим приоритетным направлениям (исследовательская, проектно-конструкторская, творческая деятельность и др.)</t>
  </si>
  <si>
    <t>Доля детей, охваченных различными формами оздоровления и отдыха, от числа детей в возрасте от 7 до 18 лет, %</t>
  </si>
  <si>
    <t>02 5 01 2Д120</t>
  </si>
  <si>
    <t>Удельный вес численности учителей Нытвенского городского округа в возрасте до 35 лет в общей численности учителей общеобразовательных организаций, %</t>
  </si>
  <si>
    <t>Достижение уровня заработной платы педагогических работников муниципальных образовательных организаций, соответствующего Указу Президента РФ №599 от 7 мая 2012 г."О мерах по реализации государственной политики в области образования и науки", %</t>
  </si>
  <si>
    <t>02 5 02 2Д140</t>
  </si>
  <si>
    <t>Подпрограмма 6 "Развитие сети образовательных организаций Нытвенского городского округа и приведение их в нормативное состояние"</t>
  </si>
  <si>
    <t>Доля муниципальных образовательных организаций Нытвенского городского округа, принятых комиссиями к началу учебного года</t>
  </si>
  <si>
    <t>Реализация программ развития преобразованных муниципальных образований</t>
  </si>
  <si>
    <t>0701,0702,0703</t>
  </si>
  <si>
    <t>02 6 01 SP180</t>
  </si>
  <si>
    <t>Уровень выполнения Программы, %</t>
  </si>
  <si>
    <t>02 7 03 2Д160</t>
  </si>
  <si>
    <t>02 7 03 2Д170</t>
  </si>
  <si>
    <t>921 (Админ-УКС)</t>
  </si>
  <si>
    <t>921 (УКС)</t>
  </si>
  <si>
    <t>922(КУИ)</t>
  </si>
  <si>
    <t>921</t>
  </si>
  <si>
    <t>921(УКС)</t>
  </si>
  <si>
    <t>Мероприятие "Реализация мероприятий по качественному функционированию систем теплоснабжения района"</t>
  </si>
  <si>
    <t>15 02 01 2Ч020</t>
  </si>
  <si>
    <t>15 02 01 2Ч030</t>
  </si>
  <si>
    <t>15 02 01 2Ч040</t>
  </si>
  <si>
    <t>15 02 01 2Ч050</t>
  </si>
  <si>
    <t>15 02 01 2Ч060</t>
  </si>
  <si>
    <t>15 02 01 2Ч070</t>
  </si>
  <si>
    <t>15 02 01 2Ч080</t>
  </si>
  <si>
    <t>Мероприятие  "Получение справок их ГУП "ЦТИ Пермского края"</t>
  </si>
  <si>
    <t>0600000000</t>
  </si>
  <si>
    <t xml:space="preserve"> 000</t>
  </si>
  <si>
    <t>921 (админ)</t>
  </si>
  <si>
    <t>921 (адм)</t>
  </si>
  <si>
    <t>921 (адм-УКС)</t>
  </si>
  <si>
    <t>925</t>
  </si>
  <si>
    <t>928 (ЦК иФ)</t>
  </si>
  <si>
    <t>Мероприятие «Мероприятия по выносу из трансформаторной подстанции щитов наружного освещения »</t>
  </si>
  <si>
    <t>09 1 01 2В010</t>
  </si>
  <si>
    <t>Мероприятие «Капитальный ремонт кровли и фасада многоквартирного жилого дома, по адресу: г. Нытва, ул. М.Горького 20а»</t>
  </si>
  <si>
    <t>1.1.10</t>
  </si>
  <si>
    <t>09 1 01 2В020</t>
  </si>
  <si>
    <t>09 1 01 2В030</t>
  </si>
  <si>
    <t>09 1 01 2В040</t>
  </si>
  <si>
    <t>09 1 01 2В050</t>
  </si>
  <si>
    <t>09 1 01 2В060</t>
  </si>
  <si>
    <t>09 1 01 2В070</t>
  </si>
  <si>
    <t>09 1 01 2В080</t>
  </si>
  <si>
    <t>09 1 01 2В090</t>
  </si>
  <si>
    <t>09 2 01 2В100</t>
  </si>
  <si>
    <t>09 2 01 2В110</t>
  </si>
  <si>
    <t>09 2 01 2В120</t>
  </si>
  <si>
    <t>09 2 01 2В130</t>
  </si>
  <si>
    <t>09 2 02 2В140</t>
  </si>
  <si>
    <t>09 2 02 2В150</t>
  </si>
  <si>
    <t>09 2 03 2В160</t>
  </si>
  <si>
    <t>09 2 03 2В170</t>
  </si>
  <si>
    <t>09 2 03 2В180</t>
  </si>
  <si>
    <t>09 2 03 2В190</t>
  </si>
  <si>
    <t>09 3 01 2В200</t>
  </si>
  <si>
    <t>09 4 01 2В210</t>
  </si>
  <si>
    <t>Мероприятие  Государственная поддержка малого и среднего предпринимательства (Реализация программ поддержки субъектов малого и среднего предпринимательства в целях их ускоренного развития в моногородах)</t>
  </si>
  <si>
    <t>11 2 01 L5275</t>
  </si>
  <si>
    <t>Непрограммные направления расходов</t>
  </si>
  <si>
    <t>Наименование муниципальной програмы, подпрограммы, основного мероприятия, ведомственной целевой программы), мероприятия</t>
  </si>
  <si>
    <t>902- Адм.</t>
  </si>
  <si>
    <t xml:space="preserve">         депутаты представительного органа</t>
  </si>
  <si>
    <t>На приобретение подарков, сувениров</t>
  </si>
  <si>
    <t>Функционирование правительства РФ, высших исполнительных органов государственной власти субъектов РФ, местных администраций</t>
  </si>
  <si>
    <t xml:space="preserve"> - Финансовое управление администрации Нытвенского муниципального района</t>
  </si>
  <si>
    <t>91 0 00 23000</t>
  </si>
  <si>
    <t>Средства на 2016 г. по Соглашению "О передаче части полномочий по распоряжению зем.участками, госуд.собственность на которые не разграничена" не планируются в связи с изменениями, внесенными в Земельный кодекс РФ, связанными с передачей полномочий с уровня мун.района на уровень поселений.</t>
  </si>
  <si>
    <t xml:space="preserve"> образование комиссий по делам несовершеннолетних и защите их прав и организацию их деятельности</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</si>
  <si>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</si>
  <si>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осуществление полномочий по созданию и организации деятельности административных комиссий</t>
  </si>
  <si>
    <t>осуществление гос.полномочий по обеспечению жилыми помещениями детей-сирот и детей, оставшихся без попечения родителей</t>
  </si>
  <si>
    <t>осуществление гос.полномочий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</si>
  <si>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Судебная система</t>
  </si>
  <si>
    <t>0105</t>
  </si>
  <si>
    <t>9000000</t>
  </si>
  <si>
    <t>93 0 00 51200</t>
  </si>
  <si>
    <t xml:space="preserve"> - Контрольно-счетная палата - всего</t>
  </si>
  <si>
    <t xml:space="preserve"> 91 0 00 00000</t>
  </si>
  <si>
    <t xml:space="preserve">         содержание ОМСУ (аудиторы)</t>
  </si>
  <si>
    <t xml:space="preserve"> 91 0 00 00090</t>
  </si>
  <si>
    <t>ВСЕГО р.0100</t>
  </si>
  <si>
    <t xml:space="preserve"> - Комитет по управлению имуществом </t>
  </si>
  <si>
    <t>92 0 00 2Ш550</t>
  </si>
  <si>
    <t>Проведение кап,ремонта многоквартирных домов 809,7 кв.м. (2016 г.=7,58 руб; 2017-2018 гг.=8,28 руб. за квадратный метр)</t>
  </si>
  <si>
    <t xml:space="preserve"> - Финансовое управление (субсидии поселениям)</t>
  </si>
  <si>
    <t>9309602</t>
  </si>
  <si>
    <t xml:space="preserve"> - Администрация Нытвенского муниципального района (МКУ "УКС"</t>
  </si>
  <si>
    <t>9202006</t>
  </si>
  <si>
    <t>В связи с передачей  газопроводов в собственность Григор.СП расходы на их обслуживание в 2015 г. не планируются</t>
  </si>
  <si>
    <t>в т.ч.средства на приобретение путевок на санаторно-курортное лечение и оздоровление работников бюджетной сферы (местный бюджет)</t>
  </si>
  <si>
    <t>92 0 00 SC240</t>
  </si>
  <si>
    <t>обеспечение работников учреждений бюджетной сферы путевками на санаторно-курортное лечение и оздоровление (край)</t>
  </si>
  <si>
    <t>93 0 00 SC240</t>
  </si>
  <si>
    <t xml:space="preserve"> - Финансовое управление (субсидии на реализацию муниципальных программ, приоритетных муниципальных проектов, инвестиционных проектов муниципальных образований)</t>
  </si>
  <si>
    <t>93 0 00 2Р050</t>
  </si>
  <si>
    <t>ВСЕГО р.1000</t>
  </si>
  <si>
    <t>ВСЕГО по непрограммным мероприятиям</t>
  </si>
  <si>
    <t>08 0 00 00000</t>
  </si>
  <si>
    <t>08 1 01 00000</t>
  </si>
  <si>
    <t>08 1 01 2К010</t>
  </si>
  <si>
    <t>08 1 01 2К020</t>
  </si>
  <si>
    <t>08 1 01 2К030</t>
  </si>
  <si>
    <t>08 1 01 2К040</t>
  </si>
  <si>
    <t>08 1 01 2К050</t>
  </si>
  <si>
    <t>08 2 00 00000</t>
  </si>
  <si>
    <t>08 2 01 00000</t>
  </si>
  <si>
    <t>08 2 01 2К060</t>
  </si>
  <si>
    <t>08 2 01 2К080</t>
  </si>
  <si>
    <t>08 2 01 2К090</t>
  </si>
  <si>
    <t>08 2 01 2К100</t>
  </si>
  <si>
    <t>08 2 01 2К110</t>
  </si>
  <si>
    <t>08 2 01 2К120</t>
  </si>
  <si>
    <t>08 2 02 00000</t>
  </si>
  <si>
    <t>08 2 02 2У090</t>
  </si>
  <si>
    <t>08 2 02 2У100</t>
  </si>
  <si>
    <t>08 3 00 00000</t>
  </si>
  <si>
    <t>08 3 01 00000</t>
  </si>
  <si>
    <t>08 3 01 2К130</t>
  </si>
  <si>
    <t>08 3 01 2К140</t>
  </si>
  <si>
    <t>08 3 01 2К150</t>
  </si>
  <si>
    <t>08 3 01 2К160</t>
  </si>
  <si>
    <t>08 3 01 2К170</t>
  </si>
  <si>
    <t>08 3 01 2К180</t>
  </si>
  <si>
    <t>08 3 01 2К190</t>
  </si>
  <si>
    <t>08 3 02 00000</t>
  </si>
  <si>
    <t>08 3 02 2К200</t>
  </si>
  <si>
    <t>08 3 02 2К210</t>
  </si>
  <si>
    <t>08 2 02 2К220</t>
  </si>
  <si>
    <t>08 4 00 00000</t>
  </si>
  <si>
    <t>08 4 01 00000</t>
  </si>
  <si>
    <t>08 4 01 SP180</t>
  </si>
  <si>
    <t>08 4 02 00000</t>
  </si>
  <si>
    <t>08 4 02 2К230</t>
  </si>
  <si>
    <t>08 4 02 2К240</t>
  </si>
  <si>
    <t>08 5 00 00000</t>
  </si>
  <si>
    <t>08 5 01 00000</t>
  </si>
  <si>
    <t>08 5 01 2К260</t>
  </si>
  <si>
    <t>08 5 01 2К270</t>
  </si>
  <si>
    <t>08 5 01 2К280</t>
  </si>
  <si>
    <t>08 5 01 2К290</t>
  </si>
  <si>
    <t>08 5 01 2К300</t>
  </si>
  <si>
    <t>08 5 01 2К310</t>
  </si>
  <si>
    <t>08 5 02 00000</t>
  </si>
  <si>
    <t>08 5 02 SP180</t>
  </si>
  <si>
    <t>08 6 00 00000</t>
  </si>
  <si>
    <t>08 6 01 00000</t>
  </si>
  <si>
    <t>08 6 01 00110</t>
  </si>
  <si>
    <t>Мероприятие 1.4.7.  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(10-п)</t>
  </si>
  <si>
    <t>Мероприятие 1.4.6.     Реализация мероприятий в отношениии автомобильных дорог общего пользования местного значения с участием Дорожного фонда Пермского края (764-п бонусы)</t>
  </si>
  <si>
    <t>Мероприятие 1.4.5.     Реализация мероприятий в отношениии автомобильных дорог общего пользования местного значения с участием Дорожного фонда Пермского края (764-п)</t>
  </si>
  <si>
    <t>Мероприятие 1.3.9.    Реализация мероприятий в отношениии автомобильных дорог общего пользования местного значения с участием Дорожного фонда Пермского края (93-п)</t>
  </si>
  <si>
    <t>Мероприятие 1.3.5.   Реализация мероприятий в отношениии автомобильных дорог общего пользования местного значения с участием Дорожного фонда Пермского края  (10-п)</t>
  </si>
  <si>
    <t xml:space="preserve">Мероприятие 1.3.4.          Реализация мероприятий в отношениии автомобильных дорог общего пользования местного значения с участием Дорожного фонда Пермского края (764-п) </t>
  </si>
  <si>
    <t>Мероприятие 1.3.3      Реализация мероприятий в отношениии автомобильных дорог общего пользования местного значения с участием Дорожного фонда Пермского края (764-п бонусы)</t>
  </si>
  <si>
    <t>07 1 04 L3720</t>
  </si>
  <si>
    <t>07 1 01 2Н060</t>
  </si>
  <si>
    <t xml:space="preserve">"Комплексное развитие  территорий Нытвенского городского округа" </t>
  </si>
  <si>
    <t>Приложение 13</t>
  </si>
  <si>
    <t>Мероприятие «Приобретение материалов для исполнения мероприятий по выносу из трансформаторной подстанции щитов наружного освещения »</t>
  </si>
  <si>
    <t>08 5 01 2К320</t>
  </si>
  <si>
    <t>Подпрограмма «Органитзация и содержание мест захоронения в Нытвенском городском округе»</t>
  </si>
  <si>
    <t>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t>
  </si>
  <si>
    <t>09 4 01 2П040</t>
  </si>
  <si>
    <t>Мероприятие "Составление протоколов об административных правонарушениях"</t>
  </si>
  <si>
    <t xml:space="preserve">Основное мероприятие "Федеральный проект "Обеспечение устойчивого сокращения непригодного для поживания жилищного фонда" </t>
  </si>
  <si>
    <t>Мероприятие" Обеспечение устойчивого сокращения непригодного для проживания жилого фонда"</t>
  </si>
  <si>
    <t>Мероприятие "Реализация мероприятий по обеспечению устойчивого сокращения непригодного для проживания жилого фонда"</t>
  </si>
  <si>
    <t>09 1 02 00000</t>
  </si>
  <si>
    <t>количество жителей подлежащих расселению</t>
  </si>
  <si>
    <t>Основное мероприятие "Организация транспортного обслуживания населения"</t>
  </si>
  <si>
    <t xml:space="preserve"> Приложение 2</t>
  </si>
  <si>
    <t xml:space="preserve"> к пояснительной записке  </t>
  </si>
  <si>
    <t>Строительство общеобразовательной школы на 100 учащихся в с.Мокино, Нытвенского района, Пермского края</t>
  </si>
  <si>
    <r>
      <t>Финансовое обеспечение реализации Муниципальной программы    "</t>
    </r>
    <r>
      <rPr>
        <b/>
        <u/>
        <sz val="14"/>
        <color theme="1"/>
        <rFont val="Times New Roman"/>
        <family val="1"/>
        <charset val="204"/>
      </rPr>
      <t xml:space="preserve"> Управление земельными ресурсами, муниципальным имуществом и градостроительная деятельность Нытвенского городского округа</t>
    </r>
    <r>
      <rPr>
        <b/>
        <sz val="14"/>
        <color theme="1"/>
        <rFont val="Times New Roman"/>
        <family val="1"/>
        <charset val="204"/>
      </rPr>
      <t>"</t>
    </r>
  </si>
  <si>
    <t>Муниципальная программа 
"Управление земельными ресурсами, муниципальным имуществом и градостроительная деятельность Нытвенского городского округа"</t>
  </si>
  <si>
    <t>Подпрограмма 1 "Управление земельными ресурсами Нытвенского городского округа"</t>
  </si>
  <si>
    <t>1210000000</t>
  </si>
  <si>
    <t xml:space="preserve">Основное мероприятие 1.1 «Вовлечение в оборот земельных участков для жилищного и промышленного строительства» </t>
  </si>
  <si>
    <t>1210100000</t>
  </si>
  <si>
    <t xml:space="preserve">Мероприятие 1.1.1
«Выявление неиспользуемых или используемых не по назначению земельных участков»
</t>
  </si>
  <si>
    <t>121012Г010</t>
  </si>
  <si>
    <t>Доходы от использования и реализации земельных участков, тыс.руб.</t>
  </si>
  <si>
    <t xml:space="preserve">Мероприятие 1.1.2 
«Инвентаризация договоров аренды земельных участков, подготовка исковых заявлений с целью взыскания задолженности по арендной плате за землю»
</t>
  </si>
  <si>
    <t>121012Г020</t>
  </si>
  <si>
    <t>Снижение задолженности по арендной плате за землю, %</t>
  </si>
  <si>
    <t xml:space="preserve">Мероприятие 1.1.3 «Проведение контрольных мероприятий соблюдения земельного законодательства
в рамках муниципального земельного контроля» 
</t>
  </si>
  <si>
    <t>121012Г030</t>
  </si>
  <si>
    <t>Мероприятие 1.1.4
«Проведение комплексных кадастровых работ»</t>
  </si>
  <si>
    <t>121012Г040</t>
  </si>
  <si>
    <t xml:space="preserve">Мероприятие 1.1.5 «Проведения комплексных кадастровых работ в рамках реализации федеральной целевой программы "Развитие единой государственной системы регистрации  прав  и  кадастрового учета недвижимости (2014-2020 годы)» </t>
  </si>
  <si>
    <t>12101L5111</t>
  </si>
  <si>
    <t>Мероприятие 1.1.6 «Проведение землеустроительных и комплексных кадастровых работ, в т.ч. разработка документации по планировке территории»</t>
  </si>
  <si>
    <t>12101SЦ140</t>
  </si>
  <si>
    <t>Основное мероприятие 1.2 "Подготовка земельных участков к реализации"</t>
  </si>
  <si>
    <t>1210200000</t>
  </si>
  <si>
    <t xml:space="preserve">Мероприятие 1.2.1 «Проведение землеустроительных и кадастровых работ»
</t>
  </si>
  <si>
    <t>121022Г050</t>
  </si>
  <si>
    <t xml:space="preserve">Площадь вовлеченных
в оборот земельных участков для жилищного и промышленного строительства, га
</t>
  </si>
  <si>
    <t>Основное мероприятие 1.3 "Подготовка земельных участков для предоставления многодетным семьям"</t>
  </si>
  <si>
    <t>1210300000</t>
  </si>
  <si>
    <t>Мероприятие 1.3.1 «Проведение землеустроительных и кадастровых работ на земельных участках для предоставления многодетным семьям»</t>
  </si>
  <si>
    <t>121032Г060</t>
  </si>
  <si>
    <t>Доля многодетных семей, обеспеченных земельными участками от числа многодетных семей, поставленных на учет, %</t>
  </si>
  <si>
    <t>1.4</t>
  </si>
  <si>
    <t>Основное мероприятие 1.4
«Эффективность работы органов местного самоуправления в сфере земельно-имущественных отношений»</t>
  </si>
  <si>
    <t>1210400000</t>
  </si>
  <si>
    <t>1.4.1</t>
  </si>
  <si>
    <t xml:space="preserve">Мероприятие 1.4.1
«Исполнение целевых моделей упрощения процедуры ведения бизнеса и повышения инвестиционной привлекательности»
</t>
  </si>
  <si>
    <t>121042Г070</t>
  </si>
  <si>
    <t>Эффективность  работы органов местного самоуправления в сфере земельно-имущественных отношений (%)</t>
  </si>
  <si>
    <t>Подпрограмма 2 "Управление муниципальным имуществом Нытвенского городского округа"</t>
  </si>
  <si>
    <t>1220000000</t>
  </si>
  <si>
    <t>Основное мероприятие 2.1 «Оптимизация состава имущества Нытвенского городского округа»</t>
  </si>
  <si>
    <t>1220100000</t>
  </si>
  <si>
    <t>Мероприятие 2.1.1
«Оценка рыночной стоимости муниципального имущества для целей реализации (или списания с баланса)»</t>
  </si>
  <si>
    <t>122012Г080</t>
  </si>
  <si>
    <t>Доходы от использования и реализации муниципального имуществом, тыс.руб.</t>
  </si>
  <si>
    <t xml:space="preserve">Мероприятие 2.1.2 «Оценка рыночной стоимости права на заключение договора аренды муниципального имущества (договора на установку и эксплуатацию рекламной конструкции), а также определение размера годовой арендной платы по договорам аренды имущества (договорам на установку и эксплуатацию рекламной конструкции)»
</t>
  </si>
  <si>
    <t>122012Г090</t>
  </si>
  <si>
    <t xml:space="preserve">Мероприятие 2.1.3 «Паспортизация муниципального имущества»
</t>
  </si>
  <si>
    <t>122012Г100</t>
  </si>
  <si>
    <t>Мероприятие 2.1.4 "Подготовка актов обследования для снятия объектов недвижимости с государственного кадастрового учета"</t>
  </si>
  <si>
    <t>122012Г110</t>
  </si>
  <si>
    <t xml:space="preserve">Мероприятин 2.1.5 "Кадастровые работы
по объектам недвижимости"
</t>
  </si>
  <si>
    <t>122012Г120</t>
  </si>
  <si>
    <t>Мероприятие 2.1.6 "Выдача справок, предусмотренных Положением о государственном учете жилищного фонда"</t>
  </si>
  <si>
    <t>122012Г130</t>
  </si>
  <si>
    <t>Основное мероприятие 2.2 "Ведение реестра учета муниципального имущества"</t>
  </si>
  <si>
    <t>1220200000</t>
  </si>
  <si>
    <t>Мероприятие 2.2.1
"Контроль за использованием, сохранностью муниципального имущества, закрепленного на вещном праве за муниципальными предприятиями, учреждениями"</t>
  </si>
  <si>
    <t>122022Г140</t>
  </si>
  <si>
    <t>Основное мероприятие 2.3 «Содержание и управление имуществом Нытвенского городского округа»</t>
  </si>
  <si>
    <t>1220300000</t>
  </si>
  <si>
    <t>Мероприятие 2.3.1. "Оплата взносов за капитальный ремонт общего имущества в многоквартирном доме помещений, находящихся в собственности Нытвенского муниципального района"</t>
  </si>
  <si>
    <t>122032Г150</t>
  </si>
  <si>
    <t xml:space="preserve">Мероприятие 2.3.2 «Содержание объектов имущества казны Нытвенского городского округа»
</t>
  </si>
  <si>
    <t>122032Г160</t>
  </si>
  <si>
    <t xml:space="preserve">Основное мероприятие 2.4 «Формирование специализированного жилищного фонда» </t>
  </si>
  <si>
    <t>1220400000</t>
  </si>
  <si>
    <t xml:space="preserve">Мероприятие 2.4.1
«Содержание жилых помещений специализированного жилищного фонда для детей-сирот, детей, оставшихся без попечения родителей, лиц из их числа»
</t>
  </si>
  <si>
    <t>122042С070</t>
  </si>
  <si>
    <t>Предоставление жилых помещений специализированного жилого фонда для детей-сирот, детей, оставшихся без попечения родителей, лицам из их числа, ед.</t>
  </si>
  <si>
    <t>2.4.2</t>
  </si>
  <si>
    <t xml:space="preserve">Мероприятие 2.4.2
 «Строительство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t>
  </si>
  <si>
    <t>122042С080</t>
  </si>
  <si>
    <t>2.4.3</t>
  </si>
  <si>
    <t xml:space="preserve">Мероприятие 2.4.3
«Переселение граждан из жилых помещений, предоставленных по договорам найма специализированных жилых помещений»
</t>
  </si>
  <si>
    <t>122042Ж470</t>
  </si>
  <si>
    <t>Сокращение аварийного специализированного жилищного фонда, кв.м.</t>
  </si>
  <si>
    <t>2.5</t>
  </si>
  <si>
    <t>Основное мероприятие 2.5 "Снос расселенных жилых домов и нежилых зданий (сооружений), расположенных на территории округа"</t>
  </si>
  <si>
    <t>1220500000</t>
  </si>
  <si>
    <t>2.5.1</t>
  </si>
  <si>
    <t>Мероприятие 2.5.1: "Снос расселенных жилых домов и нежилых зданий (сооружений), расположенных на территории муниципальных образований Пермского края"</t>
  </si>
  <si>
    <t>12205SP250</t>
  </si>
  <si>
    <t>Подпрограмма 3 "Градостроительная деятельность Нытвенского городского округа"</t>
  </si>
  <si>
    <t>1230000000</t>
  </si>
  <si>
    <t>Основное мероприятие 3.1  "Развитие градостроительной деятельности"</t>
  </si>
  <si>
    <t>1230100000</t>
  </si>
  <si>
    <t>Мероприятие 3.1.1. "Разработка местных нормативов градостроительного проектирования Нытвенского городского округа"</t>
  </si>
  <si>
    <t>123012Г170</t>
  </si>
  <si>
    <t>Обеспеченность муниципального образования документами территориального планирования, %</t>
  </si>
  <si>
    <t>Мероприятие 3.1.2 "Подготовка генеральных планов, правил землепользования и застройки муниципальных образований Пермского края"</t>
  </si>
  <si>
    <t>12301SЖ420</t>
  </si>
  <si>
    <t>Внесение сведений о границах населенных пунктов Нытвенского городского округа в Единый государственный реестр недвижимости, ед.</t>
  </si>
  <si>
    <t>Внесение сведений о границах территориальных зон Нытвенского городского округа в Единый государственный реестр недвижимости, ед.</t>
  </si>
  <si>
    <t>Мероприятие 3.1.3 "Разработка схем красных линий населенных пунктов"</t>
  </si>
  <si>
    <t>123012Г180</t>
  </si>
  <si>
    <t>Наличие схем красных линий населенных пунктов Нытвенского городского округа, шт.</t>
  </si>
  <si>
    <t>Мероприятие 3.1.4 "Разработка проекта планировки территории г.Нытва"</t>
  </si>
  <si>
    <t>123012Г190</t>
  </si>
  <si>
    <t>Мероприятие 3.1.5 «Разработка проекта планировки территории и проекта межевания территории"</t>
  </si>
  <si>
    <t>123012Г200</t>
  </si>
  <si>
    <t>Основное мероприятие 3.2 "Развитие территории округа"</t>
  </si>
  <si>
    <t>1230200000</t>
  </si>
  <si>
    <t>Мероприятие 3.2.1 "Разработка и внесение изменений в схемы размещения рекламных конструкций и нестационарных торговых объектов"</t>
  </si>
  <si>
    <t>123022Г210</t>
  </si>
  <si>
    <t>Мероприятие 3.2.2 "Установка современных рекламных конструкций, демонтаж незаконно установленных нестационарных торговых объектов и рекламных конструкций и их хранение"</t>
  </si>
  <si>
    <t>123022Г220</t>
  </si>
  <si>
    <t>Подпрограмма 4 "Обеспечение реализации муниципальной программы"</t>
  </si>
  <si>
    <t>1240000000</t>
  </si>
  <si>
    <t>Уровень исполнения целевых показателей программы (%)</t>
  </si>
  <si>
    <t>Основное мероприятие 4.1 «Обеспечение деятельности органов местного самоуправления»</t>
  </si>
  <si>
    <t>1240100000</t>
  </si>
  <si>
    <t>Мероприятие 4.1.1 "Содержание органов местного самоуправления"</t>
  </si>
  <si>
    <t>1240100090</t>
  </si>
  <si>
    <t>Финансовое обеспечение реализации Муниципальной программы «Развитие культуры, искусства и молодежной политики Нытвенского городского округа"</t>
  </si>
  <si>
    <t>% исп-я к 2019 году</t>
  </si>
  <si>
    <t>Муниципальная программа "Муниципальная программа «Развитие культуры, искусства и молодежной политики Нытвенского городского округа"</t>
  </si>
  <si>
    <t>Подпрограмма 1 Организация социально значимых мероприятий и проектов в сфере культуры в Нытвенском городском округе</t>
  </si>
  <si>
    <t>Основное мероприятие Организация и проведение значимых мероприятий в сфере искусства и культуры</t>
  </si>
  <si>
    <t xml:space="preserve">
</t>
  </si>
  <si>
    <t xml:space="preserve">мероприятия на проведение  семинаров с приглашением специалистов </t>
  </si>
  <si>
    <t>Количество участников культурно-досуговых мероприятий</t>
  </si>
  <si>
    <t>Содержание МБУ "ЦРКС" и проведение таких мероприятий как празднование 75-й годовщины Победы, 90-лет   п. Новоильинский,  335 лет селу Григорьевское, гуляния «Масленица», 
мероприятия посвященные празднованию «Первомай. День весны и труда»,
VII танц-фестиваль «Красная ложка у зеленой воды», 
День народного единства, 
мероприятия для молодежи, старшего поколения, 
участие в  краевых социально-культурных проектах «Пермский край-территория культуры», «Местный дом культуры», «Не сиди дома», «Социальный кинозал» и т.д</t>
  </si>
  <si>
    <t>Прирост посещений платных культурно-массовых мероприятий</t>
  </si>
  <si>
    <t>Число участников клубных формирований</t>
  </si>
  <si>
    <t>Основное мероприятие Развитие общественных объединений</t>
  </si>
  <si>
    <t>Стимулирование населения Нытвенского городского округа на занятие активной жизненной позиции в общественных объединениях</t>
  </si>
  <si>
    <t>Увеличение Почетных гаждан, в связи объединением НМР в городской округ, учтена подписка на газету "Новй день"</t>
  </si>
  <si>
    <t>Количество общественных объединений активно взаимодействующих с органами местного самоуправления Нытвенского городского округа</t>
  </si>
  <si>
    <t>учтены расходы согласно смет общественных организаций (7 организаций). Ветеранская организация, организация инвалидов, ВОС. Ветераны Афганистана, Совет женщин, ветераны Чернобыля, организация "Дети сироты войны". Проведение мероприятий, чествование ветеранов, митинги, соревнования и т.д.</t>
  </si>
  <si>
    <t>Основное мероприятие Патриотическое воспитание граждан Нытвенского городского округа</t>
  </si>
  <si>
    <t>Организация и проведение мероприятий в сфере патриотического воспитания граждан на территории Нытвенского городского округа</t>
  </si>
  <si>
    <t>В данном мероприятии учтены расходы на проведение фестивалей: "Бал Победы", "На клавишах Победы", "Моя Родина - Россия" и другие</t>
  </si>
  <si>
    <t>Подпрограмма 2 Развитие молодежной политики</t>
  </si>
  <si>
    <t>Основное мероприятие Развитие молодежной политики</t>
  </si>
  <si>
    <t>Развитие добровольческих-и общественных практик</t>
  </si>
  <si>
    <t>В данном мероприятии учтены расходы в сумме 1512,0 тыс. рублей на ФОТ специалистам по молодежной политике. На проведение мероприятий – 344,5 тыс. рублей, в том числе: районный праздник «День молодежи «Мое место»», торжественной вручение паспортов молодежи, КВН, участие в краевой исторической игре «Большая Георгиевская игра», акции «Свеча памяти», участие социальных инициативных групп и добровольческих отрядов в краевых и районных фестивалях, конкурсах, слетах и мероприятиях</t>
  </si>
  <si>
    <t xml:space="preserve">Подпрограмма 3 Организация библиотечного обслуживания населения, сохранение и развитие библиотечного дела в Нытвенском городском округе                                                          </t>
  </si>
  <si>
    <t>Основное мероприятие Организация, сохранение и развитие библиотечного дела</t>
  </si>
  <si>
    <t>Улучшение организации библиотечного обслуживания населения Нытвенского городского округа</t>
  </si>
  <si>
    <t>Содержание учреждения МБУ "ЦБС"</t>
  </si>
  <si>
    <t>В данном мероприятии учтены расходы на приобретение книжной продукции и подписка на периодические издания</t>
  </si>
  <si>
    <t>Количество пользователей пожилого возраста, которым оказаны консультации практических навыков использования интернета</t>
  </si>
  <si>
    <t xml:space="preserve">
</t>
  </si>
  <si>
    <t>Подпрограмма 4 Развитие музейного дела</t>
  </si>
  <si>
    <t>Основное мероприятие Поддержка развития музейного дела</t>
  </si>
  <si>
    <t>Хранение,изучение,публикация музейных предметов, организациямузейно- образовательной деятельности</t>
  </si>
  <si>
    <t>Содержание Нытвенского истоико-краеведческого музея и Уральского музея</t>
  </si>
  <si>
    <t>Количество посетителей музеев реальных</t>
  </si>
  <si>
    <t>Подпрограмма 5 Развитие художественного образования в сфере культуры в Нытвенском городском округе</t>
  </si>
  <si>
    <t>Основное мероприятие Поддержка развития системы художественного образования</t>
  </si>
  <si>
    <t>Участие в краевых конкурсах , увеличены  расходов  на выполнение федеральных государственных требований (ФГТ)</t>
  </si>
  <si>
    <t>Количество детей, ставших дипломантами и лауреатами муниципальных, краевых, международных и всероссийских конкурсов</t>
  </si>
  <si>
    <t>Содержание МБУ ДШИ г.Нытва</t>
  </si>
  <si>
    <t>Отношение средней заработной платы преподавателей и учреждений дополнительного образования детей в сфере культуры (ДШИ, ДМШ до средне заработной платы в регионе)</t>
  </si>
  <si>
    <t>Обеспечение музыкальными инструментами, оборудованием и материалами образовательных учреждений в сфере культуры</t>
  </si>
  <si>
    <t>Участие в краевом проекту на условиях софинансирования 80/20 по приобретению фортепиано</t>
  </si>
  <si>
    <t>5.2</t>
  </si>
  <si>
    <t>Подпрограмма 6 Приведение в нормативное состояние объектов  социальной сферы в Нытвенском городском округе</t>
  </si>
  <si>
    <t xml:space="preserve">Основное мероприятие Приведение в нормативное состояние учреждения культуры и организаций дополнительного образования в сфере культуры </t>
  </si>
  <si>
    <t>Количество объектов культуры, приведенных в нормативное состояние</t>
  </si>
  <si>
    <t>Ремонт и замена оконных блоков на стеклопакеты ЦБС с. Шерья</t>
  </si>
  <si>
    <t>6.1.2</t>
  </si>
  <si>
    <t>Обеспечение развития и укрепления материально-технической базы домов культуры в населенных пунктах с числом жителей до 50 тысяч человек</t>
  </si>
  <si>
    <t>Вступление МБУ «ЦРКиС» в краевой проект на условиях софинансирования по направлению развития и укрепления материально-технической базы домов культуры в населенных пунктах с числом жителей до 50 тысяч человек.</t>
  </si>
  <si>
    <t>6.1.3</t>
  </si>
  <si>
    <t xml:space="preserve"> Ремонт Шерьенской сельской библиотеки.</t>
  </si>
  <si>
    <t>6.1.4</t>
  </si>
  <si>
    <t xml:space="preserve">на ремонт Шерьинской  сельской библиотеки -1000,0 тыс. рублей (местный бюджет 250,0 тыс.рублей, краевой бюджет – 750,0 тыс.рублей);
на капитальный ремонт кровли МБУ КДЦ Чайковского сельского поселения-2894,4 тыс. рулей (местный бюджет 1447,2 тыс.рублей, краевой бюджет – 1447,2 тыс.рублей);
на ремонт Сергинской сельской библиотеки 1700,0 тыс. рублей (местный бюджет 850,0 тыс.рублей, краевой бюджет – 850,0 тыс.рублей);
на капитальный ремонт кровли  здания МБУ "Центр развития культуры и спорта" – 1000,0 ты. рублей (местный бюджет 500,0 тыс.рублей, краевой бюджет – 500,0 тыс.рублей);
</t>
  </si>
  <si>
    <t>6.1.5</t>
  </si>
  <si>
    <t>Разработка проектно сметной документации</t>
  </si>
  <si>
    <t>Капитальный ремонт крыши МБУ Нытвенский краеведческий музей (музей ложки) пр. Ленина; Капитальный ремонт помещений ДК и С п. Уральский; капитальный ремонт кровли дома досуга д. Шумиха</t>
  </si>
  <si>
    <t>Подпрограмма 7  Обеспечение жильем молодых семей в Нытвенском городском округе</t>
  </si>
  <si>
    <t>Основное мероприятие Обеспечение жильем молодых семей</t>
  </si>
  <si>
    <t xml:space="preserve">Обеспечение жильём 3 семеи,  </t>
  </si>
  <si>
    <t>Количество молодых семей, реализовавших свидетельства о праве на получение социальной выплаты на приобретение жилого помещения и создание объекта индивидуального жилищного строительства, в размере 30-35% расчетной (средней) стоимости жилья</t>
  </si>
  <si>
    <t>7.1.2</t>
  </si>
  <si>
    <t>Субсидия на реализацию мероприятий по обеспечению жильем молодых семей</t>
  </si>
  <si>
    <t>Площадь жилья, приобретенного (построенного) с помощью свидетельства о правена получение социальной выплаты на приобретение жилого помещения и создание объекта индивидуальногожилищного строительства, в размере 30-35% расчетной (средней) стоимости жилья</t>
  </si>
  <si>
    <t>7.1.3</t>
  </si>
  <si>
    <t>Обеспечение жильем молодых семей</t>
  </si>
  <si>
    <t>Количество молодых семей, реализовавших свидетельства о праве на получение социальной выплаты на приобретение (строительство), в размере 10% от расчетной стоимости жилья</t>
  </si>
  <si>
    <t>Подпрограмма 8 Обеспечение реализации Муниципальной  программы</t>
  </si>
  <si>
    <t>8.1</t>
  </si>
  <si>
    <t>8.1.1</t>
  </si>
  <si>
    <t>Подпрограмма предусмотрена в связи с требованием Министерства с/х РФ и МСХ ПК, о проведении мероприятий по борьбе с борщевиком на землях сельхозназначения</t>
  </si>
  <si>
    <t>В связи с уменьшением количества субсидируемых договоров</t>
  </si>
  <si>
    <t xml:space="preserve">Наименование </t>
  </si>
  <si>
    <t>1.2.1.1.</t>
  </si>
  <si>
    <t>1.2.1.2.</t>
  </si>
  <si>
    <t xml:space="preserve">         содержание ОМСУ (аппарат управления)</t>
  </si>
  <si>
    <t>1.2.1.3.</t>
  </si>
  <si>
    <t xml:space="preserve">         представительские расходы и расходы на мероприятия</t>
  </si>
  <si>
    <t>1.3.1.</t>
  </si>
  <si>
    <t>1.3.1.1.</t>
  </si>
  <si>
    <t>в т.ч.  содержание ОМСУ (аппарат управления)</t>
  </si>
  <si>
    <t>1.3.1.2.</t>
  </si>
  <si>
    <t>1.3.1.3.</t>
  </si>
  <si>
    <t>1.3.1.4.</t>
  </si>
  <si>
    <t>1.3.1.5.</t>
  </si>
  <si>
    <t>1.3.1.6.</t>
  </si>
  <si>
    <t>1.3.1.7.</t>
  </si>
  <si>
    <t>1.4.</t>
  </si>
  <si>
    <t>1.4.1.</t>
  </si>
  <si>
    <t>1.5.</t>
  </si>
  <si>
    <t>1.5.1.</t>
  </si>
  <si>
    <t xml:space="preserve"> - Финансовое управление - всего</t>
  </si>
  <si>
    <t>1.5.1.1.</t>
  </si>
  <si>
    <t xml:space="preserve">в т.ч.  содержание ОМСУ </t>
  </si>
  <si>
    <t xml:space="preserve">          резервный фонд</t>
  </si>
  <si>
    <t>92 0 00 2Ш010</t>
  </si>
  <si>
    <t>1.5.1.3.</t>
  </si>
  <si>
    <t xml:space="preserve">          представительские расходы и расходы на мероприятия</t>
  </si>
  <si>
    <t>1.5.2.</t>
  </si>
  <si>
    <t>1.5.2.1.</t>
  </si>
  <si>
    <t>в т.ч. Руководитель Контрольно-счетной палаты</t>
  </si>
  <si>
    <t>1.5.2.2.</t>
  </si>
  <si>
    <t>1.6.</t>
  </si>
  <si>
    <t>1.6.1.</t>
  </si>
  <si>
    <t xml:space="preserve"> - МКУ "Централизованная бухгалтерия г. Нытва" - всего</t>
  </si>
  <si>
    <t>94 0 00 00000</t>
  </si>
  <si>
    <t>1.6.1.1.</t>
  </si>
  <si>
    <t>в т.ч.: содержание казенных учреждений</t>
  </si>
  <si>
    <t>94 0 00 00110</t>
  </si>
  <si>
    <t xml:space="preserve"> 90 0 00 00000</t>
  </si>
  <si>
    <t>в т.ч.: информационные услуги телерадиокомпаниями</t>
  </si>
  <si>
    <t>92 0 00 2Ш050</t>
  </si>
  <si>
    <t>информирование населения через средства массовой информации (периодическая печать и издательства)</t>
  </si>
  <si>
    <t>92 0 00 2Ш060</t>
  </si>
  <si>
    <t>государственная регистрация актов гражданского состояния</t>
  </si>
  <si>
    <t>93 0 00 59300</t>
  </si>
  <si>
    <t>1.7.</t>
  </si>
  <si>
    <t>1.7.1.</t>
  </si>
  <si>
    <t xml:space="preserve"> - Управление ЖКХ</t>
  </si>
  <si>
    <t>1.7.1.1.</t>
  </si>
  <si>
    <t>в т.ч.: софинансирование проектов ТОС и инициативного бюджетирования</t>
  </si>
  <si>
    <t>1.7.1.2.</t>
  </si>
  <si>
    <t>поддержка муниципальных программ формирования современной городской среды</t>
  </si>
  <si>
    <t>ВСЕГО р.0500</t>
  </si>
  <si>
    <t>1.8.</t>
  </si>
  <si>
    <t>1.8.1.</t>
  </si>
  <si>
    <t>1.9.</t>
  </si>
  <si>
    <t>1.9.1.</t>
  </si>
  <si>
    <t>Обеспечение жильем отдельных категорий граждан, установленных Федеральным законом от 12 января 1995 г. № 5-ФЗ "О ветеранах"</t>
  </si>
  <si>
    <t>Обеспечение жильем отдельных категорий граждан, установленных Федеральным законом от 24 ноября 1995 г. № 181-ФЗ "О социальной защите инвалидов в Российской Федерации"</t>
  </si>
  <si>
    <t>93 0 00 51760</t>
  </si>
  <si>
    <t>Приложение 14</t>
  </si>
  <si>
    <t>Приложение 8</t>
  </si>
  <si>
    <t>Приложение 9                               к пояснительной записке</t>
  </si>
  <si>
    <t>Приложение 11</t>
  </si>
  <si>
    <t>Приложение 12</t>
  </si>
  <si>
    <t>Приложение 7 к пояснительной записке</t>
  </si>
  <si>
    <t>Расходы, /тыс.руб</t>
  </si>
  <si>
    <t>Муниципальная программа "Совершенствование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t>
  </si>
  <si>
    <t>10 0 00 00000</t>
  </si>
  <si>
    <t>901- ФУ</t>
  </si>
  <si>
    <t>903- Дума</t>
  </si>
  <si>
    <t>905- КУИ</t>
  </si>
  <si>
    <t>906 - КСП</t>
  </si>
  <si>
    <t>911-УЖКХ</t>
  </si>
  <si>
    <t>935-УО</t>
  </si>
  <si>
    <t>11 0 00 00000</t>
  </si>
  <si>
    <t>915 - УКСиМП</t>
  </si>
  <si>
    <t>Повышение квалификации муниципальных служащих, выборных должностных лиц органов местного самоуправления - всего</t>
  </si>
  <si>
    <t>10 1 01 2М010</t>
  </si>
  <si>
    <t>1)Количество муниципальных служащих и выборных должностных лиц, прошедших программы повышения квалификации  по 31 чел. ежегодно;                                               2)Доля муниципальных служащих, выборных должностных лиц, прошедших программы повышения квалификации (от количества муниципальных служащих и выборных должностных лиц, обязанных повысить квалификацию) в 2020 г -28,4% ,2021г -28,7%, 2022 г-33%;                                               3) Доля мун.сл. и выборных должностных лиц, прошедших аттестацию и признанных соответствующими замещаемой должности, от общего числа мун.сл., подлежащих прохождению аттестации 100%, 100%, 100%.                                                     4) Доля документов, исполненных без нарушения срока, в межведомственной системе электронного документооборота (МСЭД)90% ежегодно;                                                                                                                               5)Доля качественно исполненных вопросов, поставленных Думой Нытвенского городского округа  100% ежегодно</t>
  </si>
  <si>
    <t>Мероприятие "Курсы повышения квалификации"</t>
  </si>
  <si>
    <t>11 1 01 2М010</t>
  </si>
  <si>
    <t xml:space="preserve"> Финансовое управление администрации Нытвенского городского округа </t>
  </si>
  <si>
    <t xml:space="preserve">Администрация Нытвенского городского округа </t>
  </si>
  <si>
    <t>Дума Нытвенского городского округа</t>
  </si>
  <si>
    <t>Контрольно-счетная палата</t>
  </si>
  <si>
    <t>Управление земельно-имущественных отношений и градостроительства администрации Нытвенского городского округа</t>
  </si>
  <si>
    <t>Управление жилищно-коммунального хозяйства, благоустройства и транспорта администрации Нытвенского городского округа</t>
  </si>
  <si>
    <t>Управление по культуре, физкультуре, спорту и молодежной политике</t>
  </si>
  <si>
    <t>Управление образования администрации Нытвенского городского округа Пермского края</t>
  </si>
  <si>
    <t>Мероприятие "Участие в образовательных семинарах, в форумах"</t>
  </si>
  <si>
    <t>10 1 01 2М020</t>
  </si>
  <si>
    <t>11 1 01 2М020</t>
  </si>
  <si>
    <t>Профессиональная переподготовка муниципальных служащих органов местного самоуправления - всего</t>
  </si>
  <si>
    <t>0100</t>
  </si>
  <si>
    <t>10 2 00 00000</t>
  </si>
  <si>
    <t xml:space="preserve">1)Количество муниципальных служащих и выборных должностных лиц, прошедших программы повышения квалификации  по 2 чел. ежегодно;                                2)Доля муниципальных служащих, прошедших аттестацию и признанных соответствующими замещаемой должности, от общего числа муниципальных служащих прошедших профессиональную переподготовку 100% ежегодно;                                   3) Доля документов, исполненных без нарушения срока, в межведомственной системе электронного документооборота (МСЭД)90% ежегодно;                                      4 ) Доля документов, исполненных без нарушения срока, в межведомственной системе электронного документооборота (МСЭД)100% ежегодно;   </t>
  </si>
  <si>
    <t>Основное мероприятие "Организация условий для повышения профессионального уровня муниципальных служащих, выборных должностных лиц"</t>
  </si>
  <si>
    <t>Мероприятие "Профессиональная переподготовка"</t>
  </si>
  <si>
    <t>Подпрограмма  «Развитие территориального общественного самоуправления в Нытвенском городском округе»</t>
  </si>
  <si>
    <t xml:space="preserve">1)Число ТОС, созданных на территории Нытвенского городского округа 2020 г-21 , 2021г-23, 2020-25;             2)Число реализованных на территории Нытвенского городского округа общественно значимых инициатив ТОС, при поддержке региональных 
и федеральных программ 2020 г-13 , 2021г-15 2020-17;    
</t>
  </si>
  <si>
    <t>Основное мероприятие "Организация условий для развития территориального общественного самоуправления в Нытвенском городском округе"</t>
  </si>
  <si>
    <t>Мероприятие «Вознаграждение председателей ТОС и Советов микрорайонов»</t>
  </si>
  <si>
    <t>Мероприятие "Участие в форумах, семинарах"</t>
  </si>
  <si>
    <t>0803</t>
  </si>
  <si>
    <t>Приложение 10                                                                                                                   к пояснительной записке</t>
  </si>
  <si>
    <t xml:space="preserve">                                                                     Финансовое обеспечение реализации Муниципальной программы"Совершенствование муниципального управления Нытвенского городского округа"</t>
  </si>
  <si>
    <t>Администрирование отдельных государственных полномочий по поддержке сельскохозяйственного производства</t>
  </si>
  <si>
    <t>93 0 00 2У110</t>
  </si>
  <si>
    <t>13 1 00 00000</t>
  </si>
  <si>
    <t>13 1 01 00000</t>
  </si>
  <si>
    <t>Капитальный ремонт съездов до д. Зенки от автомобильной дороги "Григорьевское-Постаноги"</t>
  </si>
  <si>
    <t xml:space="preserve"> - Дума Нытвенского городского округа - всего</t>
  </si>
  <si>
    <t>Ремонт дорог по ул. Полевая, ул. Школьная д. Постаноги</t>
  </si>
  <si>
    <t>09 1 F3 67483</t>
  </si>
  <si>
    <t>09 1 F3 67484</t>
  </si>
  <si>
    <t>"Приобретение автомобиля "Пе редвижная аварийно-ремонтная мастерская ГАЗ 33088 Егерь"</t>
  </si>
  <si>
    <t>Ремонт ул.Заводская ст.Григорьевская</t>
  </si>
  <si>
    <t xml:space="preserve">1.2.2.Реализация мероприятий в отношениии автомобильных дорог общего пользования местного значения с участием Дорожного фонда Пермского края (764-п) </t>
  </si>
  <si>
    <t xml:space="preserve">07 1 02 ST040 </t>
  </si>
  <si>
    <t>Ремонт автомобильной дороги "Григорьевское-Покровское"-Спирята</t>
  </si>
  <si>
    <t xml:space="preserve"> - Администрация Нытвенского городского округа</t>
  </si>
  <si>
    <t>921- Адм.</t>
  </si>
  <si>
    <t>923-ФУ</t>
  </si>
  <si>
    <t>927-ЖКХ</t>
  </si>
  <si>
    <t>924- Дума</t>
  </si>
  <si>
    <t>923-ЦБУ</t>
  </si>
  <si>
    <t>926-КСП</t>
  </si>
  <si>
    <t>927</t>
  </si>
  <si>
    <t xml:space="preserve"> - Администрация Нытвенского городского округа - всего</t>
  </si>
  <si>
    <t>представительские расходы и расходы на мероприятия</t>
  </si>
  <si>
    <t xml:space="preserve"> - Администрация городского округа -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</si>
  <si>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1 "Строительство и приобретение жилья"</t>
  </si>
  <si>
    <t>Мероприятие: Реализация мероприятий направленных на комплескное развитие сельских территорий (Улучшение жилищных условий граждан проживающих в сельской местности)</t>
  </si>
  <si>
    <t>Основное мероприятие "Благоустройство сельских территорий"</t>
  </si>
  <si>
    <t>Мероприятие: Реализация мероприятий направленных на комплескное развитие сельских территорий (Благоустройство сельских территорий)</t>
  </si>
  <si>
    <t>13 1 01 L5761</t>
  </si>
  <si>
    <t>13 2 00 00000</t>
  </si>
  <si>
    <t>13 2 01 00000</t>
  </si>
  <si>
    <t>13 2 01 L5765</t>
  </si>
  <si>
    <t>927 (Благ-во)</t>
  </si>
  <si>
    <t>10 1 02 00000</t>
  </si>
  <si>
    <t>10 1 02 2М030</t>
  </si>
  <si>
    <t>10 2 01 2М040</t>
  </si>
  <si>
    <t>10 2 01 2М050</t>
  </si>
  <si>
    <t>Мероприятие 1.1.4 Нанесение дорожной разметки</t>
  </si>
  <si>
    <t>Меропритятие 1.1.3 Обеспечение безопасности дорожного движения на автомобильных дорогах местного занчения и объектах улично-дорожной сети</t>
  </si>
  <si>
    <t>Мероприятие"Софинансирование проектов инициативного бюджетирования"</t>
  </si>
  <si>
    <t>Установка мемориального памятника с.Мокино</t>
  </si>
  <si>
    <t>"Вахта Памяти" (Реконструкция памятника участникам ВОВ в с.Григорьевское)</t>
  </si>
  <si>
    <t>Памяти жить века! (Установка памятника участникам ВОВ и благоустройство прилегающей территории) (ТОС Удалы)</t>
  </si>
  <si>
    <t>08 4 01 SP080</t>
  </si>
  <si>
    <t>927 (ЖКХ)</t>
  </si>
  <si>
    <t>Мероприятие  "Поддержка муниципальных программ формирования современной городской среды (расходы, не софинансируемые из федерального бюджета)"</t>
  </si>
  <si>
    <t>08 4 02 SЖ090</t>
  </si>
  <si>
    <t>08 4 F2 00000</t>
  </si>
  <si>
    <t>08 4 F2 55550</t>
  </si>
  <si>
    <t>4.3.</t>
  </si>
  <si>
    <t>4.3.1</t>
  </si>
  <si>
    <t>Основное мероприятие  "Федеральный проект "Формирование комфортной городской среды"</t>
  </si>
  <si>
    <t>Мероприятие "Реализация программ формирования современной городской среды"</t>
  </si>
  <si>
    <t>922(адм)</t>
  </si>
  <si>
    <t>2.1.2.2</t>
  </si>
  <si>
    <t>2.1.2.3</t>
  </si>
  <si>
    <t>2.1.2.4</t>
  </si>
  <si>
    <t>2.1.2.5</t>
  </si>
  <si>
    <t>2.1.7.1</t>
  </si>
  <si>
    <t>2.1.8.</t>
  </si>
  <si>
    <t xml:space="preserve"> Мероприятие Софинансирование проектов инициативного бюджетирования</t>
  </si>
  <si>
    <t>Восстановление сети уличного водопровода на д.Н.Гаревая</t>
  </si>
  <si>
    <t>Ремонт сети уличного водопровода на ул.Володарского</t>
  </si>
  <si>
    <t>2.1.8.1</t>
  </si>
  <si>
    <t>2.1.8.2</t>
  </si>
  <si>
    <t>09 2 01 SP080</t>
  </si>
  <si>
    <t>09 2 01 2В220</t>
  </si>
  <si>
    <t>09 3 01 2В230</t>
  </si>
  <si>
    <t>1.1.5.Обслуживание и ремонт автоматической пожарной сигнализации и ПАК "Стрелец-мониторинг"</t>
  </si>
  <si>
    <t>1.2.2. Проведение строительной экспертизы противорадиационных укрытий</t>
  </si>
  <si>
    <t>1.2.3. Проведение профилактических мероприятий по ГО, обучения населения по действиям при выполнении мероприятий гражданской обороны как в мирное, так и в военное время.</t>
  </si>
  <si>
    <t>1.2.4. Обеспечение средствами индивидуальной защиты органов дыхания (противогазами), медицинскими средствами индивидуальной защиты (аптечками, перевязочными и противохимическими пакетами), специальной защитной одеждой работников администрации городского округа и подведомственных учреждений.</t>
  </si>
  <si>
    <t>1.2.5. Обучение должностных лиц администрации городского округа и подведомственных учреждений по вопросам ГО ЧС  в организациях имеющих лицензию на данный вид деятельности</t>
  </si>
  <si>
    <t>Подпрограмма 2 «Профилактика правонарушений »</t>
  </si>
  <si>
    <t>2.1. Основное мероприятие «Реализация мер в области обеспечения безопасности»</t>
  </si>
  <si>
    <t>2.1.7.Выплаты материального стимулирования народным дружинникам за участие в охране общественного порядка</t>
  </si>
  <si>
    <t>Мероприятие "Разработка программы комплексного развития транспортной инфраструктуры городского округа"</t>
  </si>
  <si>
    <t>"Приобретение автомобиля ГАЗ 330273 4*4 Фургон авторемонтная мастерская"</t>
  </si>
  <si>
    <t>052012П020</t>
  </si>
  <si>
    <t>923</t>
  </si>
  <si>
    <t>3.3.</t>
  </si>
  <si>
    <t>Основное мероприятие: Обеспечение деятельности Центра образования цифрового и гуманитарного профилей "Точка роста"</t>
  </si>
  <si>
    <t>3.3.1</t>
  </si>
  <si>
    <t>Обеспечение деятельности Центра образования цифрового и гуманитарного профилей "Точка роста" на базе МБОУ СОШ №3 г.Нытва им.Ю.П.Чегодаева</t>
  </si>
  <si>
    <t>02 3 01 2Д180</t>
  </si>
  <si>
    <t>6.1.6</t>
  </si>
  <si>
    <t>Реализация 1 этапа проекта "Парк Победы"</t>
  </si>
  <si>
    <t>6.1.7</t>
  </si>
  <si>
    <t>Основное мероприятие "Приведение в нормативное состояние объектов в сфере культуры"</t>
  </si>
  <si>
    <t>Финансовое обеспечение реализации программы "Развитие физической культуры, спорта и формирования здорового образа жизни в Нытвенском городском округе "</t>
  </si>
  <si>
    <t>Муниципальная программа "Развитие физической культуры, спорта и здорового образа жизни в Нытвенском городском округе"</t>
  </si>
  <si>
    <t>баннеры по национальному проекту "Демография"</t>
  </si>
  <si>
    <t>в данном мероприятии учтены расходы на ФОТ специалистам по спорту, учтены расходы на проведение мероприятий спортивной направленности, в том числе мероприятия, согласно календарного плана на 2020 год, куда вошли спортивные мероприятия: «Кросс наций», «Лыжня России» и т.д.. Так же учтены средства на обеспечение охраны спортивных мероприятий, проведение спартакиад, проект тренер Нашего двора  и т.д.;</t>
  </si>
  <si>
    <t>Доля населения района, систематически занимающихся физической культурой и спортом, в общей численности населения в возрасте от 3 до 79 лет.    Доля лиц с органиченными возможностями здоровья и инвалидов, систематически занимающихся физической культурой и спортом в общей численности населения данной категории</t>
  </si>
  <si>
    <t>42                                                                                       22</t>
  </si>
  <si>
    <t>45                                         22,6</t>
  </si>
  <si>
    <t>49                               24,7</t>
  </si>
  <si>
    <t>Организация и проведение тестирования по выполнению видов испытаний (тестов), нормативов, требований к уровню знаний и умений, установленных всероссийским физкультурно-спортивным комплексом «Готов к труду и обороне» в Нытвенском городском округе</t>
  </si>
  <si>
    <t>В данном мероприятии учтены расходы на проведение районных, краевых фестивалей, акций, спартакиад в рамках всероссийского комплекса "Готов к труду и обороне" в размере 250,4 тыс. рублей. В том числе учтена заработная плата двух специалистов центра тестирования на базе ДЮСШ в размере 435,9 тыс. рублей</t>
  </si>
  <si>
    <t>Доля населения выполнившего нормативы испытаний (тестов)  ГТО на знаки отличия, в общей численности населения проживающего на территории Нытвенского городского округа</t>
  </si>
  <si>
    <t>Реализация краевого проекта "Школьный спортивный клуб"</t>
  </si>
  <si>
    <t>Доля обучающихся и студентов, систематически занимающихся физической культурой и спортом, в общей численности обучающихся и студентов Нытвенского городского округа</t>
  </si>
  <si>
    <t>Основное мероприятие Развитие спорта</t>
  </si>
  <si>
    <t>Обеспечение качественным спортивным инвентарем учреждений в рамках спортивной подготовки</t>
  </si>
  <si>
    <t>обеспечение качественным спортивным инвентарем учреждений в рамках спортивной подготовки</t>
  </si>
  <si>
    <t xml:space="preserve"> 2.2.2</t>
  </si>
  <si>
    <t>Приобретение спортивного оборудования, инвентаря и экипировки для развития физической культуры и массового спорта</t>
  </si>
  <si>
    <t>приобретение спортивного инвентаря, обновление экипировки спортсменов округа, спортивная форма (МБУ "ЦРКС")</t>
  </si>
  <si>
    <t xml:space="preserve"> 2.2.3</t>
  </si>
  <si>
    <t>Организация участия спортсменов в официальных соревнованиях в рамках спортивной подготовки</t>
  </si>
  <si>
    <t>участие в официальных соревнованиях в рамках спортивной подготовки</t>
  </si>
  <si>
    <t xml:space="preserve"> 2.2.4</t>
  </si>
  <si>
    <t>Организация участия спортсменов в официальных соревнованиях регионального, всероссийского и международных уровней</t>
  </si>
  <si>
    <t>Увеличение текущих расходов на участие в официальных соревнованиях и сборах</t>
  </si>
  <si>
    <t xml:space="preserve"> 2.2.5</t>
  </si>
  <si>
    <t xml:space="preserve"> 2.3.1</t>
  </si>
  <si>
    <t>ДЮСШ 392 обучающихся, ДЮСШ Лидер 500 обучающихся</t>
  </si>
  <si>
    <t xml:space="preserve"> 2.3.2</t>
  </si>
  <si>
    <t>Организация обеспечения спортивной подготовки в организациях дополнительного образования спортивной направленности</t>
  </si>
  <si>
    <t>ДЮСШ 43 обучающихся, ДЮСШ Лидер 203 обучающихся</t>
  </si>
  <si>
    <t xml:space="preserve"> 2.4</t>
  </si>
  <si>
    <t xml:space="preserve"> 2.4.1</t>
  </si>
  <si>
    <t>Монтаж системы видеонаблюдения в здании Эллинг (ДЮСШ Лидер)</t>
  </si>
  <si>
    <t xml:space="preserve"> 2.4.2</t>
  </si>
  <si>
    <t xml:space="preserve"> 2.4.3</t>
  </si>
  <si>
    <t>Разработка проектно-сметной документации на строительство спортивных объектов, устройство спортивных площадок для занятий физической культурой и спортом</t>
  </si>
  <si>
    <t>ПСД для вступления в проекты на устройство спортивных площадок на 2020 г. Григорьевская СОШ, Шерьинская СОШ</t>
  </si>
  <si>
    <t>Уровень обеспеченности населеничя спортивными сооружениями исходя из единовременной пропускной способности</t>
  </si>
  <si>
    <t xml:space="preserve"> 2.4.4</t>
  </si>
  <si>
    <t>Строительство спортивных объектов, устройство спортивных площадок и оснащение объектов спортивным оборудованием и инвентарем для занятий физической культурой и спортом</t>
  </si>
  <si>
    <t xml:space="preserve">устройство крытой  спортивной площадки по адресу: Нытвенский район г. Нытва, пр. Ленина ,24 (МБОУ СОШ №3 им. Ю.П. Чагодаева) – 500,0 тыс. рублей, средства местного бюджета;
- устройство крытой спортивной площадки по адресу: Нытвенский район пос. Новоильинский ул. Первомайская, 22 (МБОУ НККК им. Атамана Ермака) – 247,2 тыс. рублей средства местного бюджета;
- ремонт малого зала МБОУ НККК им. Атамана Ермака – 343,1 тыс. рублей;
</t>
  </si>
  <si>
    <t xml:space="preserve"> 2.4.5</t>
  </si>
  <si>
    <t>Текущий  ремонт служебных помещений здания Эллинг (ДЮСШ Лидер)50/50</t>
  </si>
  <si>
    <t>Уровень эффективности использования объектов спорта</t>
  </si>
  <si>
    <t xml:space="preserve"> 2.4.6</t>
  </si>
  <si>
    <t>Софинансирование проектов инициативного бюджетирования</t>
  </si>
  <si>
    <t>1101</t>
  </si>
  <si>
    <t>935</t>
  </si>
  <si>
    <t>0111</t>
  </si>
  <si>
    <t>Количество районных фестивалей и конкурсов и др. мероприятий патриотической направленности</t>
  </si>
  <si>
    <t>Доля молодежи,охваченной общественной,
добровольческой практикой (от 14 до 30 лет)</t>
  </si>
  <si>
    <t>1.3.3.8.</t>
  </si>
  <si>
    <t>Резервные фонды</t>
  </si>
  <si>
    <t>1.7.2.</t>
  </si>
  <si>
    <t>1.7.2.1.</t>
  </si>
  <si>
    <t>1.7.2.2.</t>
  </si>
  <si>
    <t>1.7.2.3.</t>
  </si>
  <si>
    <t>1.8.1.1.</t>
  </si>
  <si>
    <t>1.10.</t>
  </si>
  <si>
    <t>1.10.1.</t>
  </si>
  <si>
    <t>1.10.1.1.</t>
  </si>
  <si>
    <t>1.10.1.2.</t>
  </si>
  <si>
    <t>1.10.1.3.</t>
  </si>
  <si>
    <t>93 0 00 51350</t>
  </si>
  <si>
    <t>1.10.1.4.</t>
  </si>
  <si>
    <t>1.11.</t>
  </si>
  <si>
    <t>Условно утвержденные расходы</t>
  </si>
  <si>
    <t>1.11.1.</t>
  </si>
  <si>
    <t>ВСЕГО р.9900</t>
  </si>
</sst>
</file>

<file path=xl/styles.xml><?xml version="1.0" encoding="utf-8"?>
<styleSheet xmlns="http://schemas.openxmlformats.org/spreadsheetml/2006/main">
  <numFmts count="8">
    <numFmt numFmtId="43" formatCode="_-* #,##0.00\ _₽_-;\-* #,##0.00\ _₽_-;_-* &quot;-&quot;??\ _₽_-;_-@_-"/>
    <numFmt numFmtId="164" formatCode="_-* #,##0.00_р_._-;\-* #,##0.00_р_._-;_-* &quot;-&quot;??_р_._-;_-@_-"/>
    <numFmt numFmtId="165" formatCode="0.0"/>
    <numFmt numFmtId="166" formatCode="#,##0.0"/>
    <numFmt numFmtId="167" formatCode="?"/>
    <numFmt numFmtId="168" formatCode="_-* #,##0.0_р_._-;\-* #,##0.0_р_._-;_-* &quot;-&quot;??_р_._-;_-@_-"/>
    <numFmt numFmtId="169" formatCode="#,##0.0_ ;\-#,##0.0\ "/>
    <numFmt numFmtId="170" formatCode="0.000"/>
  </numFmts>
  <fonts count="67">
    <font>
      <sz val="11"/>
      <color theme="1"/>
      <name val="Calibri"/>
      <family val="2"/>
      <charset val="204"/>
      <scheme val="minor"/>
    </font>
    <font>
      <sz val="12"/>
      <color theme="1"/>
      <name val="Times New Roman"/>
      <family val="1"/>
      <charset val="204"/>
    </font>
    <font>
      <sz val="12"/>
      <color theme="1"/>
      <name val="Calibri"/>
      <family val="2"/>
      <charset val="204"/>
      <scheme val="minor"/>
    </font>
    <font>
      <sz val="14"/>
      <color theme="1"/>
      <name val="Times New Roman"/>
      <family val="1"/>
      <charset val="204"/>
    </font>
    <font>
      <b/>
      <sz val="14"/>
      <color theme="1"/>
      <name val="Times New Roman"/>
      <family val="1"/>
      <charset val="204"/>
    </font>
    <font>
      <sz val="14"/>
      <color indexed="8"/>
      <name val="Times New Roman"/>
      <family val="1"/>
      <charset val="204"/>
    </font>
    <font>
      <b/>
      <sz val="12"/>
      <color theme="1"/>
      <name val="Times New Roman"/>
      <family val="1"/>
      <charset val="204"/>
    </font>
    <font>
      <sz val="12"/>
      <color rgb="FF000000"/>
      <name val="Times New Roman"/>
      <family val="1"/>
      <charset val="204"/>
    </font>
    <font>
      <sz val="11"/>
      <color theme="1"/>
      <name val="Times New Roman"/>
      <family val="1"/>
      <charset val="204"/>
    </font>
    <font>
      <sz val="10"/>
      <name val="Arial"/>
      <family val="2"/>
      <charset val="204"/>
    </font>
    <font>
      <sz val="14"/>
      <name val="Times New Roman"/>
      <family val="1"/>
      <charset val="204"/>
    </font>
    <font>
      <sz val="8"/>
      <name val="Arial"/>
      <family val="2"/>
      <charset val="204"/>
    </font>
    <font>
      <sz val="10"/>
      <name val="Arial"/>
      <family val="2"/>
      <charset val="204"/>
    </font>
    <font>
      <sz val="10"/>
      <name val="Times New Roman"/>
      <family val="1"/>
      <charset val="204"/>
    </font>
    <font>
      <sz val="12"/>
      <name val="Times New Roman"/>
      <family val="1"/>
      <charset val="204"/>
    </font>
    <font>
      <sz val="10"/>
      <color theme="1"/>
      <name val="Times New Roman"/>
      <family val="1"/>
      <charset val="204"/>
    </font>
    <font>
      <b/>
      <sz val="10"/>
      <color theme="1"/>
      <name val="Times New Roman"/>
      <family val="1"/>
      <charset val="204"/>
    </font>
    <font>
      <sz val="11"/>
      <color theme="1"/>
      <name val="Calibri"/>
      <family val="2"/>
      <charset val="204"/>
      <scheme val="minor"/>
    </font>
    <font>
      <sz val="10"/>
      <name val="Arial"/>
      <family val="2"/>
      <charset val="204"/>
    </font>
    <font>
      <b/>
      <sz val="10"/>
      <name val="Times New Roman"/>
      <family val="1"/>
      <charset val="204"/>
    </font>
    <font>
      <b/>
      <sz val="12"/>
      <name val="Times New Roman"/>
      <family val="1"/>
      <charset val="204"/>
    </font>
    <font>
      <b/>
      <sz val="11"/>
      <color theme="1"/>
      <name val="Calibri"/>
      <family val="2"/>
      <charset val="204"/>
      <scheme val="minor"/>
    </font>
    <font>
      <b/>
      <sz val="11"/>
      <color theme="1"/>
      <name val="Times New Roman"/>
      <family val="1"/>
      <charset val="204"/>
    </font>
    <font>
      <b/>
      <sz val="10"/>
      <color indexed="8"/>
      <name val="Times New Roman"/>
      <family val="1"/>
      <charset val="204"/>
    </font>
    <font>
      <sz val="10"/>
      <color theme="1"/>
      <name val="Calibri"/>
      <family val="2"/>
      <charset val="204"/>
      <scheme val="minor"/>
    </font>
    <font>
      <sz val="11"/>
      <name val="Times New Roman"/>
      <family val="1"/>
      <charset val="204"/>
    </font>
    <font>
      <sz val="11"/>
      <color indexed="8"/>
      <name val="Times New Roman"/>
      <family val="1"/>
      <charset val="204"/>
    </font>
    <font>
      <sz val="10"/>
      <name val="Arial"/>
      <family val="2"/>
      <charset val="204"/>
    </font>
    <font>
      <sz val="10"/>
      <name val="Arial"/>
      <family val="2"/>
      <charset val="204"/>
    </font>
    <font>
      <sz val="10"/>
      <name val="Arial"/>
      <family val="2"/>
      <charset val="204"/>
    </font>
    <font>
      <sz val="10"/>
      <name val="Arial"/>
      <family val="2"/>
      <charset val="204"/>
    </font>
    <font>
      <b/>
      <sz val="9"/>
      <color theme="1"/>
      <name val="Times New Roman"/>
      <family val="1"/>
      <charset val="204"/>
    </font>
    <font>
      <sz val="13"/>
      <color theme="1"/>
      <name val="Calibri"/>
      <family val="2"/>
      <charset val="204"/>
      <scheme val="minor"/>
    </font>
    <font>
      <b/>
      <sz val="14"/>
      <color indexed="8"/>
      <name val="Times New Roman"/>
      <family val="1"/>
      <charset val="204"/>
    </font>
    <font>
      <sz val="10"/>
      <name val="Arial"/>
      <family val="2"/>
      <charset val="204"/>
    </font>
    <font>
      <sz val="8"/>
      <name val="Times New Roman"/>
      <family val="1"/>
      <charset val="204"/>
    </font>
    <font>
      <sz val="10"/>
      <color indexed="10"/>
      <name val="Times New Roman"/>
      <family val="1"/>
      <charset val="204"/>
    </font>
    <font>
      <sz val="12"/>
      <color indexed="8"/>
      <name val="Times New Roman"/>
      <family val="1"/>
      <charset val="204"/>
    </font>
    <font>
      <b/>
      <sz val="12"/>
      <color indexed="8"/>
      <name val="Times New Roman"/>
      <family val="1"/>
      <charset val="204"/>
    </font>
    <font>
      <sz val="12"/>
      <color indexed="8"/>
      <name val="Calibri"/>
      <family val="2"/>
      <charset val="204"/>
    </font>
    <font>
      <sz val="13"/>
      <color indexed="8"/>
      <name val="Calibri"/>
      <family val="2"/>
      <charset val="204"/>
    </font>
    <font>
      <sz val="10"/>
      <color rgb="FFFF0000"/>
      <name val="Times New Roman"/>
      <family val="1"/>
      <charset val="204"/>
    </font>
    <font>
      <sz val="9"/>
      <name val="Times New Roman"/>
      <family val="1"/>
      <charset val="204"/>
    </font>
    <font>
      <sz val="11"/>
      <name val="Calibri"/>
      <family val="2"/>
      <charset val="204"/>
      <scheme val="minor"/>
    </font>
    <font>
      <b/>
      <sz val="16"/>
      <name val="Times New Roman"/>
      <family val="1"/>
      <charset val="204"/>
    </font>
    <font>
      <b/>
      <sz val="12"/>
      <color rgb="FF000000"/>
      <name val="Times New Roman"/>
      <family val="1"/>
      <charset val="204"/>
    </font>
    <font>
      <sz val="10"/>
      <name val="Arial"/>
      <family val="2"/>
      <charset val="204"/>
    </font>
    <font>
      <b/>
      <sz val="11"/>
      <name val="Times New Roman"/>
      <family val="1"/>
      <charset val="204"/>
    </font>
    <font>
      <sz val="10"/>
      <name val="Arial Cyr"/>
    </font>
    <font>
      <sz val="11"/>
      <name val="Arial"/>
      <family val="2"/>
      <charset val="204"/>
    </font>
    <font>
      <b/>
      <sz val="11"/>
      <name val="Arial"/>
      <family val="2"/>
      <charset val="204"/>
    </font>
    <font>
      <b/>
      <i/>
      <sz val="10"/>
      <name val="Times New Roman"/>
      <family val="1"/>
      <charset val="204"/>
    </font>
    <font>
      <i/>
      <sz val="10"/>
      <name val="Times New Roman"/>
      <family val="1"/>
      <charset val="204"/>
    </font>
    <font>
      <b/>
      <i/>
      <sz val="10"/>
      <color theme="1"/>
      <name val="Times New Roman"/>
      <family val="1"/>
      <charset val="204"/>
    </font>
    <font>
      <sz val="10"/>
      <color rgb="FF000000"/>
      <name val="Times New Roman"/>
      <family val="1"/>
      <charset val="204"/>
    </font>
    <font>
      <b/>
      <sz val="10"/>
      <color rgb="FF000000"/>
      <name val="Times New Roman"/>
      <family val="1"/>
      <charset val="204"/>
    </font>
    <font>
      <b/>
      <i/>
      <sz val="11"/>
      <name val="Times New Roman"/>
      <family val="1"/>
      <charset val="204"/>
    </font>
    <font>
      <b/>
      <sz val="9"/>
      <name val="Times New Roman"/>
      <family val="1"/>
      <charset val="204"/>
    </font>
    <font>
      <sz val="11"/>
      <color rgb="FF000000"/>
      <name val="Calibri"/>
      <family val="2"/>
      <scheme val="minor"/>
    </font>
    <font>
      <sz val="8"/>
      <color theme="1"/>
      <name val="Calibri"/>
      <family val="2"/>
      <charset val="204"/>
      <scheme val="minor"/>
    </font>
    <font>
      <b/>
      <sz val="8"/>
      <name val="Times New Roman"/>
      <family val="1"/>
      <charset val="204"/>
    </font>
    <font>
      <b/>
      <sz val="8"/>
      <name val="Arial"/>
      <family val="2"/>
      <charset val="204"/>
    </font>
    <font>
      <sz val="9"/>
      <color rgb="FF000000"/>
      <name val="Times New Roman"/>
      <family val="1"/>
      <charset val="204"/>
    </font>
    <font>
      <b/>
      <u/>
      <sz val="14"/>
      <color theme="1"/>
      <name val="Times New Roman"/>
      <family val="1"/>
      <charset val="204"/>
    </font>
    <font>
      <sz val="10"/>
      <name val="Arial"/>
      <family val="2"/>
      <charset val="204"/>
    </font>
    <font>
      <sz val="11"/>
      <color theme="1"/>
      <name val="Calibri"/>
      <family val="2"/>
      <scheme val="minor"/>
    </font>
    <font>
      <sz val="14"/>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indexed="60"/>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style="thin">
        <color indexed="64"/>
      </right>
      <top/>
      <bottom/>
      <diagonal/>
    </border>
    <border>
      <left style="thin">
        <color indexed="64"/>
      </left>
      <right/>
      <top/>
      <bottom/>
      <diagonal/>
    </border>
  </borders>
  <cellStyleXfs count="33">
    <xf numFmtId="0" fontId="0" fillId="0" borderId="0"/>
    <xf numFmtId="0" fontId="9" fillId="0" borderId="0"/>
    <xf numFmtId="0" fontId="11" fillId="3" borderId="0"/>
    <xf numFmtId="0" fontId="11" fillId="3" borderId="0"/>
    <xf numFmtId="0" fontId="12" fillId="0" borderId="0"/>
    <xf numFmtId="0" fontId="17" fillId="0" borderId="0"/>
    <xf numFmtId="0" fontId="18" fillId="0" borderId="0"/>
    <xf numFmtId="0" fontId="9" fillId="0" borderId="0"/>
    <xf numFmtId="0" fontId="27" fillId="0" borderId="0"/>
    <xf numFmtId="0" fontId="9" fillId="0" borderId="0"/>
    <xf numFmtId="0" fontId="28" fillId="0" borderId="0"/>
    <xf numFmtId="0" fontId="9" fillId="0" borderId="0"/>
    <xf numFmtId="0" fontId="9" fillId="0" borderId="0"/>
    <xf numFmtId="0" fontId="29" fillId="0" borderId="0"/>
    <xf numFmtId="0" fontId="30" fillId="0" borderId="0"/>
    <xf numFmtId="0" fontId="9" fillId="0" borderId="0"/>
    <xf numFmtId="0" fontId="9" fillId="0" borderId="0"/>
    <xf numFmtId="0" fontId="9"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46" fillId="0" borderId="0"/>
    <xf numFmtId="0" fontId="17" fillId="0" borderId="0"/>
    <xf numFmtId="0" fontId="17" fillId="0" borderId="0"/>
    <xf numFmtId="0" fontId="9" fillId="0" borderId="0"/>
    <xf numFmtId="164" fontId="17" fillId="0" borderId="0" applyFont="0" applyFill="0" applyBorder="0" applyAlignment="0" applyProtection="0"/>
    <xf numFmtId="0" fontId="58" fillId="0" borderId="0"/>
    <xf numFmtId="0" fontId="64" fillId="0" borderId="0"/>
    <xf numFmtId="0" fontId="65" fillId="0" borderId="0"/>
  </cellStyleXfs>
  <cellXfs count="1071">
    <xf numFmtId="0" fontId="0" fillId="0" borderId="0" xfId="0"/>
    <xf numFmtId="0" fontId="1" fillId="0" borderId="2" xfId="0" applyFont="1" applyBorder="1" applyAlignment="1">
      <alignment vertical="top" wrapText="1"/>
    </xf>
    <xf numFmtId="0" fontId="1" fillId="0" borderId="2" xfId="0" applyFont="1" applyBorder="1" applyAlignment="1">
      <alignment vertical="center" wrapText="1"/>
    </xf>
    <xf numFmtId="0" fontId="0" fillId="2" borderId="0" xfId="0" applyFill="1"/>
    <xf numFmtId="0" fontId="6" fillId="0" borderId="2" xfId="0" applyFont="1" applyFill="1" applyBorder="1" applyAlignment="1">
      <alignment vertical="top" wrapText="1"/>
    </xf>
    <xf numFmtId="0" fontId="15" fillId="0" borderId="2" xfId="0" applyFont="1" applyFill="1" applyBorder="1"/>
    <xf numFmtId="0" fontId="8" fillId="0" borderId="0" xfId="0" applyFont="1" applyFill="1"/>
    <xf numFmtId="0" fontId="1" fillId="0" borderId="2" xfId="0" applyFont="1" applyFill="1" applyBorder="1" applyAlignment="1">
      <alignment vertical="top" wrapText="1"/>
    </xf>
    <xf numFmtId="0" fontId="3" fillId="0" borderId="0" xfId="0" applyFont="1" applyFill="1" applyAlignment="1"/>
    <xf numFmtId="0" fontId="3" fillId="0" borderId="0" xfId="0" applyFont="1" applyFill="1" applyAlignment="1">
      <alignment horizontal="left"/>
    </xf>
    <xf numFmtId="0" fontId="4" fillId="0" borderId="0" xfId="0" applyFont="1" applyFill="1" applyAlignment="1">
      <alignment horizontal="left"/>
    </xf>
    <xf numFmtId="0" fontId="3" fillId="0" borderId="0" xfId="0" applyFont="1" applyFill="1"/>
    <xf numFmtId="49" fontId="6" fillId="0" borderId="2" xfId="0" applyNumberFormat="1" applyFont="1" applyFill="1" applyBorder="1" applyAlignment="1">
      <alignment horizontal="center" vertical="center"/>
    </xf>
    <xf numFmtId="0" fontId="15" fillId="2" borderId="0" xfId="0" applyFont="1" applyFill="1" applyAlignment="1"/>
    <xf numFmtId="0" fontId="15" fillId="2" borderId="0" xfId="0" applyFont="1" applyFill="1" applyAlignment="1">
      <alignment horizontal="left"/>
    </xf>
    <xf numFmtId="0" fontId="15" fillId="2" borderId="0" xfId="0" applyFont="1" applyFill="1" applyAlignment="1">
      <alignment horizontal="right"/>
    </xf>
    <xf numFmtId="0" fontId="15" fillId="2" borderId="0" xfId="0" applyFont="1" applyFill="1" applyAlignment="1">
      <alignment horizontal="center" wrapText="1"/>
    </xf>
    <xf numFmtId="0" fontId="15" fillId="2" borderId="0" xfId="0" applyFont="1" applyFill="1" applyAlignment="1">
      <alignment horizontal="left" vertical="top" wrapText="1"/>
    </xf>
    <xf numFmtId="165" fontId="1" fillId="0" borderId="2" xfId="0" applyNumberFormat="1" applyFont="1" applyFill="1" applyBorder="1" applyAlignment="1">
      <alignment horizontal="center" vertical="center"/>
    </xf>
    <xf numFmtId="0" fontId="15" fillId="0" borderId="2" xfId="0" applyFont="1" applyFill="1" applyBorder="1" applyAlignment="1">
      <alignment wrapText="1"/>
    </xf>
    <xf numFmtId="0" fontId="0" fillId="0" borderId="0" xfId="0" applyFill="1"/>
    <xf numFmtId="0" fontId="6" fillId="0" borderId="2" xfId="0" applyFont="1" applyFill="1" applyBorder="1" applyAlignment="1">
      <alignment vertical="top"/>
    </xf>
    <xf numFmtId="0" fontId="6" fillId="0" borderId="7" xfId="0" applyFont="1" applyFill="1" applyBorder="1" applyAlignment="1">
      <alignment vertical="top" wrapText="1"/>
    </xf>
    <xf numFmtId="0" fontId="6" fillId="0"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165" fontId="14" fillId="2" borderId="2" xfId="0" applyNumberFormat="1" applyFont="1" applyFill="1" applyBorder="1" applyAlignment="1">
      <alignment vertical="center" wrapText="1"/>
    </xf>
    <xf numFmtId="49" fontId="25" fillId="0" borderId="2" xfId="0" applyNumberFormat="1" applyFont="1" applyFill="1" applyBorder="1" applyAlignment="1" applyProtection="1">
      <alignment horizontal="left" vertical="center" wrapText="1"/>
    </xf>
    <xf numFmtId="0" fontId="16" fillId="0" borderId="2" xfId="0" applyFont="1" applyBorder="1" applyAlignment="1">
      <alignment horizontal="center" vertical="center" wrapText="1"/>
    </xf>
    <xf numFmtId="0" fontId="0" fillId="4" borderId="0" xfId="0" applyFill="1"/>
    <xf numFmtId="0" fontId="0" fillId="2" borderId="2" xfId="0" applyFill="1" applyBorder="1" applyAlignment="1">
      <alignment vertical="center"/>
    </xf>
    <xf numFmtId="0" fontId="6" fillId="0" borderId="2" xfId="0" applyFont="1" applyFill="1" applyBorder="1" applyAlignment="1">
      <alignment vertical="center" wrapText="1"/>
    </xf>
    <xf numFmtId="165" fontId="1"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165" fontId="19" fillId="0" borderId="2" xfId="0" applyNumberFormat="1" applyFont="1" applyFill="1" applyBorder="1" applyAlignment="1">
      <alignment horizontal="center"/>
    </xf>
    <xf numFmtId="0" fontId="10" fillId="2" borderId="0" xfId="0" applyFont="1" applyFill="1" applyAlignment="1">
      <alignment vertical="center"/>
    </xf>
    <xf numFmtId="0" fontId="20" fillId="2" borderId="2" xfId="0" applyFont="1" applyFill="1" applyBorder="1" applyAlignment="1">
      <alignment vertical="center"/>
    </xf>
    <xf numFmtId="0" fontId="20" fillId="2" borderId="2" xfId="0" applyFont="1" applyFill="1" applyBorder="1" applyAlignment="1">
      <alignment horizontal="center" vertical="center" wrapText="1"/>
    </xf>
    <xf numFmtId="49" fontId="20" fillId="2" borderId="2" xfId="0" applyNumberFormat="1" applyFont="1" applyFill="1" applyBorder="1" applyAlignment="1">
      <alignment horizontal="center" vertical="center"/>
    </xf>
    <xf numFmtId="49" fontId="20" fillId="2" borderId="2" xfId="0" applyNumberFormat="1" applyFont="1" applyFill="1" applyBorder="1" applyAlignment="1">
      <alignment horizontal="center" vertical="center" wrapText="1"/>
    </xf>
    <xf numFmtId="165" fontId="14" fillId="2" borderId="2" xfId="0" applyNumberFormat="1" applyFont="1" applyFill="1" applyBorder="1" applyAlignment="1">
      <alignment horizontal="center" vertical="center"/>
    </xf>
    <xf numFmtId="0" fontId="14" fillId="2" borderId="2" xfId="0" applyFont="1" applyFill="1" applyBorder="1" applyAlignment="1">
      <alignment vertical="center" wrapText="1"/>
    </xf>
    <xf numFmtId="0" fontId="14" fillId="2" borderId="2" xfId="0" applyNumberFormat="1" applyFont="1" applyFill="1" applyBorder="1" applyAlignment="1">
      <alignment horizontal="left" vertical="center"/>
    </xf>
    <xf numFmtId="0" fontId="20" fillId="2" borderId="2" xfId="0" applyFont="1" applyFill="1" applyBorder="1" applyAlignment="1">
      <alignment vertical="center" wrapText="1"/>
    </xf>
    <xf numFmtId="0" fontId="14" fillId="2" borderId="2" xfId="0" applyFont="1" applyFill="1" applyBorder="1" applyAlignment="1">
      <alignment vertical="center"/>
    </xf>
    <xf numFmtId="0" fontId="14" fillId="2" borderId="2" xfId="0" applyFont="1" applyFill="1" applyBorder="1" applyAlignment="1">
      <alignment horizontal="center" vertical="center"/>
    </xf>
    <xf numFmtId="49" fontId="14" fillId="2" borderId="2" xfId="0" applyNumberFormat="1" applyFont="1" applyFill="1" applyBorder="1" applyAlignment="1">
      <alignment vertical="center"/>
    </xf>
    <xf numFmtId="0" fontId="14" fillId="2" borderId="0" xfId="0" applyFont="1" applyFill="1" applyAlignment="1">
      <alignment vertical="center" wrapText="1"/>
    </xf>
    <xf numFmtId="0" fontId="14" fillId="2" borderId="11" xfId="0" applyFont="1" applyFill="1" applyBorder="1" applyAlignment="1">
      <alignment vertical="center"/>
    </xf>
    <xf numFmtId="49" fontId="1" fillId="2" borderId="2" xfId="0" applyNumberFormat="1" applyFont="1" applyFill="1" applyBorder="1" applyAlignment="1">
      <alignment horizontal="center" vertical="center"/>
    </xf>
    <xf numFmtId="0" fontId="8" fillId="2" borderId="0" xfId="0" applyFont="1" applyFill="1" applyAlignment="1"/>
    <xf numFmtId="165" fontId="20" fillId="2" borderId="2" xfId="0" applyNumberFormat="1" applyFont="1" applyFill="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horizontal="justify" vertical="center"/>
    </xf>
    <xf numFmtId="0" fontId="19" fillId="2" borderId="2" xfId="0" applyFont="1" applyFill="1" applyBorder="1" applyAlignment="1">
      <alignment vertical="center" wrapText="1"/>
    </xf>
    <xf numFmtId="0" fontId="19" fillId="2" borderId="2" xfId="0" applyFont="1" applyFill="1" applyBorder="1" applyAlignment="1">
      <alignment horizontal="center" vertical="center"/>
    </xf>
    <xf numFmtId="0" fontId="1" fillId="0" borderId="2" xfId="0" applyFont="1" applyFill="1" applyBorder="1" applyAlignment="1">
      <alignment horizontal="justify" vertical="center"/>
    </xf>
    <xf numFmtId="0" fontId="1" fillId="0" borderId="2" xfId="0" applyFont="1" applyFill="1" applyBorder="1" applyAlignment="1">
      <alignment vertical="center"/>
    </xf>
    <xf numFmtId="0" fontId="1" fillId="0" borderId="7" xfId="0" applyFont="1" applyFill="1" applyBorder="1" applyAlignment="1">
      <alignment vertical="center" wrapText="1"/>
    </xf>
    <xf numFmtId="0" fontId="1" fillId="2" borderId="2" xfId="0" applyFont="1" applyFill="1" applyBorder="1" applyAlignment="1">
      <alignment vertical="center"/>
    </xf>
    <xf numFmtId="0" fontId="1" fillId="0" borderId="6" xfId="0" applyFont="1" applyFill="1" applyBorder="1" applyAlignment="1">
      <alignment horizontal="center" vertical="center"/>
    </xf>
    <xf numFmtId="4" fontId="1" fillId="0" borderId="2" xfId="0" applyNumberFormat="1" applyFont="1" applyFill="1" applyBorder="1" applyAlignment="1">
      <alignment horizontal="center" vertical="center" wrapText="1"/>
    </xf>
    <xf numFmtId="0" fontId="1" fillId="0" borderId="6" xfId="0" applyFont="1" applyFill="1" applyBorder="1" applyAlignment="1">
      <alignment horizontal="right" vertical="center"/>
    </xf>
    <xf numFmtId="0" fontId="1" fillId="0" borderId="6" xfId="0" applyFont="1" applyFill="1" applyBorder="1" applyAlignment="1">
      <alignment horizontal="center" vertical="center" wrapText="1"/>
    </xf>
    <xf numFmtId="0" fontId="7" fillId="0" borderId="2" xfId="0" applyFont="1" applyFill="1" applyBorder="1" applyAlignment="1">
      <alignment vertical="center"/>
    </xf>
    <xf numFmtId="0" fontId="6" fillId="2" borderId="2" xfId="0" applyFont="1" applyFill="1" applyBorder="1" applyAlignment="1">
      <alignment horizontal="justify" vertical="center" wrapText="1"/>
    </xf>
    <xf numFmtId="0" fontId="6" fillId="2" borderId="2" xfId="0" applyFont="1" applyFill="1" applyBorder="1" applyAlignment="1">
      <alignment vertical="center"/>
    </xf>
    <xf numFmtId="0" fontId="1" fillId="2" borderId="2" xfId="0" applyFont="1" applyFill="1" applyBorder="1" applyAlignment="1">
      <alignment horizontal="justify" vertical="center" wrapText="1"/>
    </xf>
    <xf numFmtId="0" fontId="6" fillId="2" borderId="2" xfId="0" applyFont="1" applyFill="1" applyBorder="1" applyAlignment="1">
      <alignment vertical="center" wrapText="1"/>
    </xf>
    <xf numFmtId="0" fontId="45" fillId="2" borderId="2" xfId="0" applyFont="1" applyFill="1" applyBorder="1" applyAlignment="1">
      <alignment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justify" vertical="center"/>
    </xf>
    <xf numFmtId="0" fontId="7" fillId="0" borderId="2" xfId="0" applyFont="1" applyFill="1" applyBorder="1" applyAlignment="1">
      <alignment horizontal="justify" vertical="center"/>
    </xf>
    <xf numFmtId="0" fontId="7" fillId="0" borderId="2" xfId="0" applyFont="1" applyFill="1" applyBorder="1" applyAlignment="1">
      <alignment horizontal="right" vertical="center"/>
    </xf>
    <xf numFmtId="0" fontId="6" fillId="0" borderId="2" xfId="0" applyFont="1" applyFill="1" applyBorder="1" applyAlignment="1">
      <alignment vertical="center"/>
    </xf>
    <xf numFmtId="49" fontId="20" fillId="2" borderId="2" xfId="0" applyNumberFormat="1" applyFont="1" applyFill="1" applyBorder="1" applyAlignment="1">
      <alignment vertical="center" wrapText="1"/>
    </xf>
    <xf numFmtId="0" fontId="1" fillId="2" borderId="2"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25" fillId="2" borderId="2" xfId="0" applyFont="1" applyFill="1" applyBorder="1" applyAlignment="1">
      <alignment vertical="center" wrapText="1"/>
    </xf>
    <xf numFmtId="0" fontId="14" fillId="2" borderId="0" xfId="0" applyFont="1" applyFill="1"/>
    <xf numFmtId="0" fontId="14" fillId="2" borderId="0" xfId="0" applyFont="1" applyFill="1" applyBorder="1"/>
    <xf numFmtId="0" fontId="20" fillId="2" borderId="0" xfId="0" applyFont="1" applyFill="1" applyBorder="1"/>
    <xf numFmtId="0" fontId="14" fillId="2" borderId="0" xfId="0" applyFont="1" applyFill="1" applyAlignment="1">
      <alignment vertical="center"/>
    </xf>
    <xf numFmtId="0" fontId="20" fillId="2" borderId="2" xfId="0" applyNumberFormat="1" applyFont="1" applyFill="1" applyBorder="1" applyAlignment="1">
      <alignment horizontal="center" vertical="center" wrapText="1"/>
    </xf>
    <xf numFmtId="0" fontId="20" fillId="2" borderId="2" xfId="0" applyNumberFormat="1" applyFont="1" applyFill="1" applyBorder="1" applyAlignment="1">
      <alignment horizontal="center" vertical="center"/>
    </xf>
    <xf numFmtId="0" fontId="14" fillId="2" borderId="2" xfId="0" applyNumberFormat="1" applyFont="1" applyFill="1" applyBorder="1" applyAlignment="1">
      <alignment horizontal="center" vertical="center"/>
    </xf>
    <xf numFmtId="0" fontId="14" fillId="2" borderId="0" xfId="0" applyNumberFormat="1" applyFont="1" applyFill="1" applyAlignment="1">
      <alignment horizontal="center" vertical="center"/>
    </xf>
    <xf numFmtId="165" fontId="20" fillId="2" borderId="2" xfId="0" applyNumberFormat="1" applyFont="1" applyFill="1" applyBorder="1" applyAlignment="1">
      <alignment horizontal="center" vertical="center" wrapText="1"/>
    </xf>
    <xf numFmtId="165" fontId="14" fillId="2" borderId="0" xfId="0" applyNumberFormat="1" applyFont="1" applyFill="1" applyAlignment="1">
      <alignment horizontal="center" vertical="center"/>
    </xf>
    <xf numFmtId="0" fontId="14" fillId="2" borderId="2" xfId="0" applyFont="1" applyFill="1" applyBorder="1" applyAlignment="1">
      <alignment horizontal="left" vertical="center" wrapText="1"/>
    </xf>
    <xf numFmtId="0" fontId="14" fillId="2" borderId="0" xfId="0" applyFont="1" applyFill="1" applyAlignment="1">
      <alignment horizontal="left" vertical="center" wrapText="1"/>
    </xf>
    <xf numFmtId="49" fontId="14" fillId="2"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6" fillId="0" borderId="2" xfId="0" applyFont="1" applyBorder="1" applyAlignment="1">
      <alignment horizontal="center" vertical="center"/>
    </xf>
    <xf numFmtId="0" fontId="6" fillId="2" borderId="0" xfId="0" applyFont="1" applyFill="1" applyAlignment="1">
      <alignment horizontal="center"/>
    </xf>
    <xf numFmtId="0" fontId="1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1" fillId="0" borderId="2" xfId="0" applyFont="1" applyBorder="1" applyAlignment="1">
      <alignment horizontal="center" vertical="center"/>
    </xf>
    <xf numFmtId="0" fontId="31" fillId="0" borderId="2" xfId="0" applyFont="1" applyBorder="1" applyAlignment="1">
      <alignment horizontal="center" vertical="center" wrapText="1"/>
    </xf>
    <xf numFmtId="0" fontId="3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top" wrapText="1"/>
    </xf>
    <xf numFmtId="0" fontId="8" fillId="0" borderId="2" xfId="0" applyFont="1" applyFill="1" applyBorder="1" applyAlignment="1">
      <alignment horizontal="left" vertical="center" wrapText="1"/>
    </xf>
    <xf numFmtId="165" fontId="1" fillId="0" borderId="2" xfId="0" applyNumberFormat="1" applyFont="1" applyFill="1" applyBorder="1" applyAlignment="1">
      <alignment horizontal="right"/>
    </xf>
    <xf numFmtId="165" fontId="13" fillId="0" borderId="2" xfId="0" applyNumberFormat="1" applyFont="1" applyFill="1" applyBorder="1" applyAlignment="1">
      <alignment horizontal="center" vertical="center" wrapText="1"/>
    </xf>
    <xf numFmtId="165" fontId="14" fillId="0" borderId="2" xfId="0" applyNumberFormat="1" applyFont="1" applyFill="1" applyBorder="1" applyAlignment="1">
      <alignment horizontal="right"/>
    </xf>
    <xf numFmtId="165" fontId="15"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8" fillId="0" borderId="2" xfId="0" applyFont="1" applyFill="1" applyBorder="1" applyAlignment="1">
      <alignment vertical="center" wrapText="1"/>
    </xf>
    <xf numFmtId="49" fontId="1" fillId="0" borderId="2" xfId="0" applyNumberFormat="1" applyFont="1" applyFill="1" applyBorder="1" applyAlignment="1">
      <alignment horizontal="center"/>
    </xf>
    <xf numFmtId="0" fontId="1" fillId="0" borderId="2" xfId="0" applyFont="1" applyFill="1" applyBorder="1" applyAlignment="1">
      <alignment horizontal="right"/>
    </xf>
    <xf numFmtId="0" fontId="13" fillId="0" borderId="2" xfId="0" applyFont="1" applyFill="1" applyBorder="1" applyAlignment="1">
      <alignment wrapText="1"/>
    </xf>
    <xf numFmtId="0" fontId="14" fillId="0" borderId="2" xfId="0" applyFont="1" applyFill="1" applyBorder="1" applyAlignment="1">
      <alignment horizontal="right"/>
    </xf>
    <xf numFmtId="0" fontId="24" fillId="0" borderId="0" xfId="0" applyFont="1" applyFill="1"/>
    <xf numFmtId="0" fontId="1" fillId="0" borderId="2" xfId="0" applyFont="1" applyFill="1" applyBorder="1"/>
    <xf numFmtId="16" fontId="1" fillId="0" borderId="2" xfId="0" applyNumberFormat="1" applyFont="1" applyFill="1" applyBorder="1" applyAlignment="1">
      <alignment horizontal="center" vertical="center"/>
    </xf>
    <xf numFmtId="0" fontId="7" fillId="0" borderId="2" xfId="0" applyFont="1" applyFill="1" applyBorder="1" applyAlignment="1">
      <alignment vertical="center" wrapText="1"/>
    </xf>
    <xf numFmtId="0" fontId="1" fillId="0" borderId="2" xfId="0" applyFont="1" applyBorder="1" applyAlignment="1"/>
    <xf numFmtId="0" fontId="6" fillId="0" borderId="3" xfId="0" applyFont="1" applyFill="1" applyBorder="1" applyAlignment="1"/>
    <xf numFmtId="0" fontId="6" fillId="0" borderId="4" xfId="0" applyFont="1" applyFill="1" applyBorder="1" applyAlignment="1"/>
    <xf numFmtId="0" fontId="6" fillId="0" borderId="5" xfId="0" applyFont="1" applyFill="1" applyBorder="1" applyAlignment="1"/>
    <xf numFmtId="0" fontId="6" fillId="0" borderId="9" xfId="0" applyFont="1" applyFill="1" applyBorder="1" applyAlignment="1"/>
    <xf numFmtId="0" fontId="6" fillId="0" borderId="10" xfId="0" applyFont="1" applyFill="1" applyBorder="1" applyAlignment="1"/>
    <xf numFmtId="0" fontId="1" fillId="2" borderId="6"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2" xfId="0" applyFont="1" applyFill="1" applyBorder="1" applyAlignment="1">
      <alignment horizontal="left" vertical="center"/>
    </xf>
    <xf numFmtId="165" fontId="1" fillId="0" borderId="6" xfId="0" applyNumberFormat="1" applyFont="1" applyFill="1" applyBorder="1" applyAlignment="1">
      <alignment horizontal="center" vertical="center"/>
    </xf>
    <xf numFmtId="0" fontId="1" fillId="2"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165" fontId="6" fillId="2" borderId="2" xfId="0" applyNumberFormat="1" applyFont="1" applyFill="1" applyBorder="1" applyAlignment="1">
      <alignment horizontal="center" vertical="center" wrapText="1"/>
    </xf>
    <xf numFmtId="0" fontId="13" fillId="0" borderId="0" xfId="0" applyFont="1"/>
    <xf numFmtId="0" fontId="13" fillId="0" borderId="0" xfId="0" applyFont="1" applyAlignment="1"/>
    <xf numFmtId="0" fontId="16" fillId="2" borderId="0" xfId="0" applyFont="1" applyFill="1" applyBorder="1" applyAlignment="1">
      <alignment horizontal="center" vertical="center" wrapText="1"/>
    </xf>
    <xf numFmtId="0" fontId="13" fillId="0" borderId="0" xfId="0" applyFont="1" applyAlignment="1">
      <alignment horizontal="right"/>
    </xf>
    <xf numFmtId="0" fontId="19" fillId="0" borderId="11" xfId="0" applyFont="1" applyBorder="1" applyAlignment="1">
      <alignment horizontal="center"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0" borderId="2" xfId="0" applyFont="1" applyBorder="1" applyAlignment="1">
      <alignment horizontal="center" wrapText="1"/>
    </xf>
    <xf numFmtId="0" fontId="16" fillId="0" borderId="2" xfId="0" applyFont="1" applyBorder="1" applyAlignment="1">
      <alignment horizontal="center"/>
    </xf>
    <xf numFmtId="0" fontId="16" fillId="2" borderId="2" xfId="0" applyFont="1" applyFill="1" applyBorder="1" applyAlignment="1">
      <alignment horizontal="center"/>
    </xf>
    <xf numFmtId="0" fontId="16" fillId="2" borderId="2" xfId="0" applyFont="1" applyFill="1" applyBorder="1" applyAlignment="1">
      <alignment horizontal="center" wrapText="1"/>
    </xf>
    <xf numFmtId="0" fontId="16" fillId="0" borderId="2" xfId="0" applyFont="1" applyBorder="1" applyAlignment="1">
      <alignment horizontal="left" vertical="top" wrapText="1"/>
    </xf>
    <xf numFmtId="49" fontId="19" fillId="0" borderId="2" xfId="0" applyNumberFormat="1" applyFont="1" applyBorder="1" applyAlignment="1" applyProtection="1">
      <alignment horizontal="left" vertical="center" wrapText="1"/>
    </xf>
    <xf numFmtId="165" fontId="19" fillId="0" borderId="2" xfId="0" applyNumberFormat="1" applyFont="1" applyBorder="1" applyAlignment="1" applyProtection="1">
      <alignment horizontal="center" wrapText="1"/>
    </xf>
    <xf numFmtId="165" fontId="19" fillId="0" borderId="2" xfId="0" applyNumberFormat="1" applyFont="1" applyBorder="1" applyAlignment="1">
      <alignment horizontal="center" vertical="center"/>
    </xf>
    <xf numFmtId="165" fontId="19" fillId="2" borderId="2" xfId="0" applyNumberFormat="1" applyFont="1" applyFill="1" applyBorder="1" applyAlignment="1">
      <alignment horizontal="center" vertical="center"/>
    </xf>
    <xf numFmtId="0" fontId="13" fillId="0" borderId="2" xfId="0" applyFont="1" applyBorder="1"/>
    <xf numFmtId="49" fontId="13" fillId="0" borderId="2" xfId="0" applyNumberFormat="1" applyFont="1" applyBorder="1" applyAlignment="1" applyProtection="1">
      <alignment horizontal="center" vertical="center" wrapText="1"/>
    </xf>
    <xf numFmtId="49" fontId="13" fillId="0" borderId="2" xfId="0" applyNumberFormat="1" applyFont="1" applyBorder="1" applyAlignment="1" applyProtection="1">
      <alignment horizontal="left" vertical="center" wrapText="1"/>
    </xf>
    <xf numFmtId="165" fontId="13" fillId="0" borderId="2" xfId="0" applyNumberFormat="1" applyFont="1" applyBorder="1" applyAlignment="1" applyProtection="1">
      <alignment horizontal="center" wrapText="1"/>
    </xf>
    <xf numFmtId="165" fontId="13" fillId="0" borderId="2" xfId="0" applyNumberFormat="1" applyFont="1" applyBorder="1" applyAlignment="1">
      <alignment horizontal="center" vertical="center"/>
    </xf>
    <xf numFmtId="165" fontId="13" fillId="0" borderId="2" xfId="0" applyNumberFormat="1" applyFont="1" applyFill="1" applyBorder="1" applyAlignment="1">
      <alignment horizontal="center" vertical="center"/>
    </xf>
    <xf numFmtId="0" fontId="13" fillId="0" borderId="2" xfId="0" applyFont="1" applyFill="1" applyBorder="1"/>
    <xf numFmtId="49" fontId="13" fillId="0" borderId="2" xfId="0" applyNumberFormat="1" applyFont="1" applyFill="1" applyBorder="1" applyAlignment="1" applyProtection="1">
      <alignment horizontal="center" wrapText="1"/>
    </xf>
    <xf numFmtId="165" fontId="19" fillId="0" borderId="2" xfId="0" applyNumberFormat="1" applyFont="1" applyFill="1" applyBorder="1" applyAlignment="1" applyProtection="1">
      <alignment horizontal="center" wrapText="1"/>
    </xf>
    <xf numFmtId="165" fontId="13" fillId="0" borderId="2" xfId="0" applyNumberFormat="1" applyFont="1" applyFill="1" applyBorder="1" applyAlignment="1" applyProtection="1">
      <alignment horizontal="center" vertical="center" wrapText="1"/>
    </xf>
    <xf numFmtId="165" fontId="13" fillId="0" borderId="2" xfId="0" applyNumberFormat="1" applyFont="1" applyFill="1" applyBorder="1" applyAlignment="1" applyProtection="1">
      <alignment horizontal="center" wrapText="1"/>
    </xf>
    <xf numFmtId="165" fontId="13" fillId="2" borderId="2" xfId="0" applyNumberFormat="1" applyFont="1" applyFill="1" applyBorder="1" applyAlignment="1">
      <alignment horizontal="center" vertical="center"/>
    </xf>
    <xf numFmtId="49" fontId="19" fillId="0" borderId="2" xfId="0" applyNumberFormat="1" applyFont="1" applyFill="1" applyBorder="1" applyAlignment="1" applyProtection="1">
      <alignment horizontal="left" vertical="center" wrapText="1"/>
    </xf>
    <xf numFmtId="49" fontId="13" fillId="0" borderId="2" xfId="0" applyNumberFormat="1" applyFont="1" applyFill="1" applyBorder="1" applyAlignment="1" applyProtection="1">
      <alignment horizontal="left" vertical="center" wrapText="1"/>
    </xf>
    <xf numFmtId="49" fontId="19" fillId="0" borderId="2" xfId="0" applyNumberFormat="1" applyFont="1" applyFill="1" applyBorder="1" applyAlignment="1" applyProtection="1">
      <alignment horizontal="center" vertical="center" wrapText="1"/>
    </xf>
    <xf numFmtId="49" fontId="19" fillId="0" borderId="2" xfId="0" applyNumberFormat="1" applyFont="1" applyFill="1" applyBorder="1" applyAlignment="1" applyProtection="1">
      <alignment horizontal="center" wrapText="1"/>
    </xf>
    <xf numFmtId="165" fontId="19" fillId="0" borderId="2" xfId="0" applyNumberFormat="1" applyFont="1" applyFill="1" applyBorder="1" applyAlignment="1">
      <alignment horizontal="center" vertical="center"/>
    </xf>
    <xf numFmtId="4" fontId="19" fillId="2" borderId="2" xfId="0" applyNumberFormat="1" applyFont="1" applyFill="1" applyBorder="1" applyAlignment="1">
      <alignment horizontal="center" vertical="center"/>
    </xf>
    <xf numFmtId="49" fontId="13" fillId="0" borderId="2" xfId="0" applyNumberFormat="1" applyFont="1" applyFill="1" applyBorder="1" applyAlignment="1" applyProtection="1">
      <alignment horizontal="center" vertical="center" wrapText="1"/>
    </xf>
    <xf numFmtId="0" fontId="13" fillId="0" borderId="0" xfId="0" applyFont="1" applyAlignment="1">
      <alignment horizontal="center" vertical="center" wrapText="1"/>
    </xf>
    <xf numFmtId="4" fontId="13" fillId="2" borderId="2" xfId="0" applyNumberFormat="1" applyFont="1" applyFill="1" applyBorder="1" applyAlignment="1">
      <alignment horizontal="center" vertical="center"/>
    </xf>
    <xf numFmtId="4" fontId="13" fillId="0" borderId="2" xfId="0" applyNumberFormat="1" applyFont="1" applyFill="1" applyBorder="1" applyAlignment="1">
      <alignment horizontal="center" vertical="center"/>
    </xf>
    <xf numFmtId="49" fontId="13" fillId="0" borderId="6" xfId="0" applyNumberFormat="1" applyFont="1" applyBorder="1" applyAlignment="1" applyProtection="1">
      <alignment horizontal="left" vertical="center" wrapText="1"/>
    </xf>
    <xf numFmtId="49" fontId="13" fillId="2" borderId="6" xfId="0" applyNumberFormat="1" applyFont="1" applyFill="1" applyBorder="1" applyAlignment="1" applyProtection="1">
      <alignment horizontal="left" vertical="center" wrapText="1"/>
    </xf>
    <xf numFmtId="0" fontId="13" fillId="0" borderId="0" xfId="0" applyFont="1" applyAlignment="1">
      <alignment horizontal="center" vertical="center"/>
    </xf>
    <xf numFmtId="0" fontId="15" fillId="0" borderId="2" xfId="0" applyFont="1" applyFill="1" applyBorder="1" applyAlignment="1">
      <alignment horizontal="left" vertical="center" wrapText="1"/>
    </xf>
    <xf numFmtId="168" fontId="15" fillId="0" borderId="2" xfId="0" applyNumberFormat="1" applyFont="1" applyFill="1" applyBorder="1" applyAlignment="1">
      <alignment horizontal="center" vertical="center"/>
    </xf>
    <xf numFmtId="0" fontId="15" fillId="0" borderId="6" xfId="0" applyFont="1" applyFill="1" applyBorder="1" applyAlignment="1">
      <alignment horizontal="left" vertical="center" wrapText="1"/>
    </xf>
    <xf numFmtId="168" fontId="16" fillId="0" borderId="2" xfId="0" applyNumberFormat="1" applyFont="1" applyFill="1" applyBorder="1" applyAlignment="1">
      <alignment horizontal="center" vertical="center"/>
    </xf>
    <xf numFmtId="0" fontId="15" fillId="0" borderId="2" xfId="0" applyFont="1" applyFill="1" applyBorder="1" applyAlignment="1">
      <alignment vertical="center" wrapText="1"/>
    </xf>
    <xf numFmtId="0" fontId="16" fillId="0" borderId="6" xfId="0" applyFont="1" applyFill="1" applyBorder="1" applyAlignment="1">
      <alignment horizontal="left" vertical="center" wrapText="1"/>
    </xf>
    <xf numFmtId="168" fontId="16" fillId="2" borderId="2" xfId="0" applyNumberFormat="1" applyFont="1" applyFill="1" applyBorder="1" applyAlignment="1">
      <alignment horizontal="center" vertical="center"/>
    </xf>
    <xf numFmtId="0" fontId="19" fillId="0" borderId="2" xfId="0" applyFont="1" applyFill="1" applyBorder="1" applyAlignment="1">
      <alignment wrapText="1"/>
    </xf>
    <xf numFmtId="49" fontId="13" fillId="0" borderId="15" xfId="0" applyNumberFormat="1" applyFont="1" applyBorder="1" applyAlignment="1" applyProtection="1">
      <alignment horizontal="left" vertical="center" wrapText="1"/>
    </xf>
    <xf numFmtId="4" fontId="15" fillId="0" borderId="2" xfId="0" applyNumberFormat="1" applyFont="1" applyBorder="1" applyAlignment="1">
      <alignment horizontal="center" vertical="center"/>
    </xf>
    <xf numFmtId="4" fontId="13" fillId="0" borderId="2" xfId="0" applyNumberFormat="1" applyFont="1" applyBorder="1" applyAlignment="1" applyProtection="1">
      <alignment horizontal="left" vertical="center" wrapText="1"/>
    </xf>
    <xf numFmtId="165" fontId="19" fillId="0" borderId="2" xfId="0" applyNumberFormat="1" applyFont="1" applyFill="1" applyBorder="1" applyAlignment="1">
      <alignment horizontal="center" vertical="center" wrapText="1"/>
    </xf>
    <xf numFmtId="166" fontId="19" fillId="0" borderId="2" xfId="0" applyNumberFormat="1" applyFont="1" applyFill="1" applyBorder="1" applyAlignment="1">
      <alignment horizontal="center" vertical="center"/>
    </xf>
    <xf numFmtId="166" fontId="13" fillId="0" borderId="2" xfId="0" applyNumberFormat="1" applyFont="1" applyFill="1" applyBorder="1" applyAlignment="1">
      <alignment horizontal="center" vertical="center"/>
    </xf>
    <xf numFmtId="49" fontId="13" fillId="0" borderId="13" xfId="0" applyNumberFormat="1" applyFont="1" applyBorder="1" applyAlignment="1" applyProtection="1">
      <alignment horizontal="left" vertical="center" wrapText="1"/>
    </xf>
    <xf numFmtId="168" fontId="15"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Fill="1" applyBorder="1" applyAlignment="1">
      <alignment wrapText="1"/>
    </xf>
    <xf numFmtId="165" fontId="41" fillId="0" borderId="2" xfId="0" applyNumberFormat="1" applyFont="1" applyFill="1" applyBorder="1" applyAlignment="1">
      <alignment horizontal="center"/>
    </xf>
    <xf numFmtId="165" fontId="13" fillId="0" borderId="2" xfId="0" applyNumberFormat="1" applyFont="1" applyFill="1" applyBorder="1" applyAlignment="1">
      <alignment horizontal="center"/>
    </xf>
    <xf numFmtId="165" fontId="19" fillId="0" borderId="11" xfId="0" applyNumberFormat="1" applyFont="1" applyBorder="1" applyAlignment="1">
      <alignment horizontal="center" vertical="center"/>
    </xf>
    <xf numFmtId="165" fontId="41" fillId="0" borderId="2" xfId="0" applyNumberFormat="1" applyFont="1" applyFill="1" applyBorder="1" applyAlignment="1" applyProtection="1">
      <alignment horizontal="center" wrapText="1"/>
    </xf>
    <xf numFmtId="165" fontId="13" fillId="0" borderId="1" xfId="0" applyNumberFormat="1" applyFont="1" applyFill="1" applyBorder="1" applyAlignment="1">
      <alignment horizontal="center" vertical="center"/>
    </xf>
    <xf numFmtId="49" fontId="19" fillId="0" borderId="2" xfId="0" applyNumberFormat="1" applyFont="1" applyBorder="1" applyAlignment="1" applyProtection="1">
      <alignment horizontal="center" vertical="center" wrapText="1"/>
    </xf>
    <xf numFmtId="0" fontId="15" fillId="0" borderId="2" xfId="0" applyFont="1" applyBorder="1" applyAlignment="1">
      <alignment horizontal="left" vertical="top" wrapText="1"/>
    </xf>
    <xf numFmtId="0" fontId="6" fillId="0" borderId="2" xfId="0" applyFont="1" applyBorder="1" applyAlignment="1">
      <alignment vertical="top" wrapText="1"/>
    </xf>
    <xf numFmtId="0" fontId="0" fillId="0" borderId="0" xfId="0" applyAlignment="1">
      <alignment vertical="top"/>
    </xf>
    <xf numFmtId="0" fontId="3" fillId="0" borderId="0" xfId="0" applyFont="1" applyAlignment="1">
      <alignment vertical="top"/>
    </xf>
    <xf numFmtId="0" fontId="6" fillId="0" borderId="2" xfId="0" applyFont="1" applyBorder="1" applyAlignment="1">
      <alignment vertical="top"/>
    </xf>
    <xf numFmtId="49" fontId="6" fillId="0" borderId="2" xfId="0" applyNumberFormat="1" applyFont="1" applyBorder="1" applyAlignment="1">
      <alignment vertical="top"/>
    </xf>
    <xf numFmtId="165" fontId="6" fillId="0" borderId="2" xfId="0" applyNumberFormat="1" applyFont="1" applyBorder="1" applyAlignment="1"/>
    <xf numFmtId="0" fontId="1" fillId="0" borderId="2" xfId="0" applyFont="1" applyFill="1" applyBorder="1" applyAlignment="1"/>
    <xf numFmtId="0" fontId="1" fillId="0" borderId="2" xfId="0" applyFont="1" applyBorder="1" applyAlignment="1">
      <alignment vertical="top"/>
    </xf>
    <xf numFmtId="49" fontId="20" fillId="2" borderId="2" xfId="0" applyNumberFormat="1" applyFont="1" applyFill="1" applyBorder="1" applyAlignment="1" applyProtection="1">
      <alignment horizontal="center" wrapText="1"/>
    </xf>
    <xf numFmtId="165" fontId="1" fillId="0" borderId="2" xfId="0" applyNumberFormat="1" applyFont="1" applyBorder="1" applyAlignment="1"/>
    <xf numFmtId="49" fontId="14" fillId="2" borderId="2" xfId="0" applyNumberFormat="1" applyFont="1" applyFill="1" applyBorder="1" applyAlignment="1" applyProtection="1">
      <alignment horizontal="center" wrapText="1"/>
    </xf>
    <xf numFmtId="0" fontId="1" fillId="0" borderId="0" xfId="0" applyFont="1" applyAlignment="1">
      <alignment vertical="top" wrapText="1"/>
    </xf>
    <xf numFmtId="0" fontId="6" fillId="0" borderId="2" xfId="0" applyFont="1" applyBorder="1" applyAlignment="1">
      <alignment wrapText="1"/>
    </xf>
    <xf numFmtId="0" fontId="1" fillId="0" borderId="2" xfId="0" applyFont="1" applyBorder="1" applyAlignment="1">
      <alignment wrapText="1"/>
    </xf>
    <xf numFmtId="49" fontId="14" fillId="2" borderId="7" xfId="0" applyNumberFormat="1" applyFont="1" applyFill="1" applyBorder="1" applyAlignment="1" applyProtection="1">
      <alignment horizontal="center" wrapText="1"/>
    </xf>
    <xf numFmtId="0" fontId="6" fillId="0" borderId="2" xfId="0" applyFont="1" applyBorder="1"/>
    <xf numFmtId="0" fontId="2" fillId="0" borderId="0" xfId="0" applyFont="1" applyAlignment="1">
      <alignment vertical="top"/>
    </xf>
    <xf numFmtId="0" fontId="32" fillId="0" borderId="0" xfId="0" applyFont="1" applyAlignment="1">
      <alignment vertical="top"/>
    </xf>
    <xf numFmtId="43" fontId="16" fillId="2" borderId="2" xfId="0" applyNumberFormat="1" applyFont="1" applyFill="1" applyBorder="1" applyAlignment="1">
      <alignment horizontal="center"/>
    </xf>
    <xf numFmtId="4" fontId="24" fillId="2" borderId="2" xfId="0" applyNumberFormat="1" applyFont="1" applyFill="1" applyBorder="1" applyAlignment="1">
      <alignment horizontal="center" vertical="center"/>
    </xf>
    <xf numFmtId="165" fontId="19" fillId="2" borderId="2" xfId="0" applyNumberFormat="1" applyFont="1" applyFill="1" applyBorder="1" applyAlignment="1">
      <alignment horizontal="left" vertical="center" wrapText="1"/>
    </xf>
    <xf numFmtId="49" fontId="48" fillId="0" borderId="14" xfId="0" applyNumberFormat="1" applyFont="1" applyBorder="1" applyAlignment="1" applyProtection="1">
      <alignment horizontal="left" vertical="center" wrapText="1"/>
    </xf>
    <xf numFmtId="167" fontId="48" fillId="0" borderId="6" xfId="0" applyNumberFormat="1" applyFont="1" applyBorder="1" applyAlignment="1" applyProtection="1">
      <alignment horizontal="left" vertical="center" wrapText="1"/>
    </xf>
    <xf numFmtId="49" fontId="48" fillId="0" borderId="6" xfId="0" applyNumberFormat="1" applyFont="1" applyBorder="1" applyAlignment="1" applyProtection="1">
      <alignment horizontal="left" vertical="center" wrapText="1"/>
    </xf>
    <xf numFmtId="49" fontId="48" fillId="0" borderId="2" xfId="0" applyNumberFormat="1" applyFont="1" applyBorder="1" applyAlignment="1" applyProtection="1">
      <alignment horizontal="left" vertical="center" wrapText="1"/>
    </xf>
    <xf numFmtId="165" fontId="13" fillId="0" borderId="2" xfId="0" applyNumberFormat="1" applyFont="1" applyFill="1" applyBorder="1" applyAlignment="1">
      <alignment horizontal="left" vertical="center" wrapText="1"/>
    </xf>
    <xf numFmtId="168" fontId="15" fillId="0" borderId="6" xfId="0" applyNumberFormat="1" applyFont="1" applyFill="1" applyBorder="1" applyAlignment="1">
      <alignment horizontal="center" vertical="center" wrapText="1"/>
    </xf>
    <xf numFmtId="0" fontId="13" fillId="0" borderId="0" xfId="0" applyFont="1" applyAlignment="1">
      <alignment horizontal="left" wrapText="1"/>
    </xf>
    <xf numFmtId="49" fontId="1" fillId="0" borderId="2" xfId="0" applyNumberFormat="1" applyFont="1" applyBorder="1" applyAlignment="1">
      <alignment horizontal="center" vertical="top" wrapText="1"/>
    </xf>
    <xf numFmtId="0" fontId="1" fillId="0" borderId="2" xfId="0" applyNumberFormat="1" applyFont="1" applyBorder="1" applyAlignment="1">
      <alignment horizontal="center" vertical="top"/>
    </xf>
    <xf numFmtId="49" fontId="1" fillId="0" borderId="2" xfId="0" applyNumberFormat="1" applyFont="1" applyBorder="1" applyAlignment="1">
      <alignment horizontal="center" vertical="top"/>
    </xf>
    <xf numFmtId="0" fontId="1" fillId="0" borderId="2" xfId="0" applyFont="1" applyBorder="1" applyAlignment="1">
      <alignment horizontal="center" vertical="top"/>
    </xf>
    <xf numFmtId="49" fontId="1" fillId="0" borderId="1" xfId="0" applyNumberFormat="1" applyFont="1" applyBorder="1" applyAlignment="1">
      <alignment horizontal="center" vertical="top"/>
    </xf>
    <xf numFmtId="0" fontId="49" fillId="0" borderId="0" xfId="0" applyFont="1" applyBorder="1" applyAlignment="1">
      <alignment vertical="center"/>
    </xf>
    <xf numFmtId="0" fontId="22" fillId="2" borderId="2" xfId="0" applyFont="1" applyFill="1" applyBorder="1" applyAlignment="1">
      <alignment horizontal="center" vertical="center"/>
    </xf>
    <xf numFmtId="0" fontId="47" fillId="2" borderId="2" xfId="0" applyFont="1" applyFill="1" applyBorder="1" applyAlignment="1">
      <alignment horizontal="center" vertical="center"/>
    </xf>
    <xf numFmtId="49" fontId="19" fillId="2" borderId="2" xfId="0" applyNumberFormat="1" applyFont="1" applyFill="1" applyBorder="1" applyAlignment="1" applyProtection="1">
      <alignment horizontal="center" vertical="center" wrapText="1"/>
    </xf>
    <xf numFmtId="49" fontId="19" fillId="2" borderId="2" xfId="0" applyNumberFormat="1" applyFont="1" applyFill="1" applyBorder="1" applyAlignment="1" applyProtection="1">
      <alignment horizontal="left" vertical="center" wrapText="1"/>
    </xf>
    <xf numFmtId="165" fontId="19" fillId="2" borderId="2" xfId="0" applyNumberFormat="1" applyFont="1" applyFill="1" applyBorder="1" applyAlignment="1">
      <alignment vertical="center"/>
    </xf>
    <xf numFmtId="165" fontId="16" fillId="2" borderId="2" xfId="0" applyNumberFormat="1" applyFont="1" applyFill="1" applyBorder="1" applyAlignment="1">
      <alignment horizontal="center" vertical="center"/>
    </xf>
    <xf numFmtId="0" fontId="50" fillId="2" borderId="2" xfId="0" applyFont="1" applyFill="1" applyBorder="1" applyAlignment="1">
      <alignment vertical="center"/>
    </xf>
    <xf numFmtId="0" fontId="16" fillId="2" borderId="2" xfId="0" applyFont="1" applyFill="1" applyBorder="1" applyAlignment="1">
      <alignment horizontal="left" vertical="center" wrapText="1"/>
    </xf>
    <xf numFmtId="49" fontId="13" fillId="2" borderId="2" xfId="0" applyNumberFormat="1" applyFont="1" applyFill="1" applyBorder="1" applyAlignment="1" applyProtection="1">
      <alignment horizontal="center" vertical="center" wrapText="1"/>
    </xf>
    <xf numFmtId="165" fontId="15" fillId="2" borderId="2" xfId="0" applyNumberFormat="1" applyFont="1" applyFill="1" applyBorder="1" applyAlignment="1">
      <alignment horizontal="center" vertical="center"/>
    </xf>
    <xf numFmtId="0" fontId="49" fillId="2" borderId="2" xfId="0" applyFont="1" applyFill="1" applyBorder="1" applyAlignment="1">
      <alignment vertical="center"/>
    </xf>
    <xf numFmtId="49" fontId="51" fillId="2" borderId="2" xfId="0" applyNumberFormat="1" applyFont="1" applyFill="1" applyBorder="1" applyAlignment="1" applyProtection="1">
      <alignment horizontal="center" vertical="center" wrapText="1"/>
    </xf>
    <xf numFmtId="49" fontId="51" fillId="2" borderId="2" xfId="0" applyNumberFormat="1" applyFont="1" applyFill="1" applyBorder="1" applyAlignment="1" applyProtection="1">
      <alignment horizontal="left" vertical="center" wrapText="1"/>
    </xf>
    <xf numFmtId="49" fontId="52" fillId="2" borderId="2" xfId="0" applyNumberFormat="1" applyFont="1" applyFill="1" applyBorder="1" applyAlignment="1" applyProtection="1">
      <alignment horizontal="center" vertical="center" wrapText="1"/>
    </xf>
    <xf numFmtId="165" fontId="51" fillId="2" borderId="2" xfId="0" applyNumberFormat="1" applyFont="1" applyFill="1" applyBorder="1" applyAlignment="1">
      <alignment horizontal="center" vertical="center"/>
    </xf>
    <xf numFmtId="165" fontId="53" fillId="2" borderId="2" xfId="0" applyNumberFormat="1" applyFont="1" applyFill="1" applyBorder="1" applyAlignment="1">
      <alignment horizontal="center" vertical="center"/>
    </xf>
    <xf numFmtId="0" fontId="13" fillId="2" borderId="2" xfId="0" applyFont="1" applyFill="1" applyBorder="1" applyAlignment="1">
      <alignment vertical="center" wrapText="1"/>
    </xf>
    <xf numFmtId="0" fontId="25" fillId="2" borderId="2" xfId="0" applyFont="1" applyFill="1" applyBorder="1" applyAlignment="1">
      <alignment horizontal="center" vertical="center"/>
    </xf>
    <xf numFmtId="49" fontId="13" fillId="2" borderId="2" xfId="0" applyNumberFormat="1" applyFont="1" applyFill="1" applyBorder="1" applyAlignment="1" applyProtection="1">
      <alignment horizontal="left" vertical="center" wrapText="1"/>
    </xf>
    <xf numFmtId="165" fontId="13" fillId="2" borderId="2" xfId="0" applyNumberFormat="1" applyFont="1" applyFill="1" applyBorder="1" applyAlignment="1" applyProtection="1">
      <alignment horizontal="center" vertical="center" wrapText="1"/>
    </xf>
    <xf numFmtId="0" fontId="25" fillId="2" borderId="2" xfId="0" applyFont="1" applyFill="1" applyBorder="1" applyAlignment="1">
      <alignment horizontal="center" vertical="center" wrapText="1"/>
    </xf>
    <xf numFmtId="165" fontId="52" fillId="2" borderId="2" xfId="0" applyNumberFormat="1" applyFont="1" applyFill="1" applyBorder="1" applyAlignment="1">
      <alignment horizontal="center" vertical="center"/>
    </xf>
    <xf numFmtId="0" fontId="13" fillId="0" borderId="2" xfId="0" applyFont="1" applyBorder="1" applyAlignment="1">
      <alignment wrapText="1"/>
    </xf>
    <xf numFmtId="0" fontId="49" fillId="0" borderId="2" xfId="0" applyFont="1" applyBorder="1" applyAlignment="1">
      <alignment vertical="center"/>
    </xf>
    <xf numFmtId="49" fontId="0" fillId="0" borderId="2" xfId="0" applyNumberFormat="1" applyBorder="1" applyAlignment="1">
      <alignment horizontal="center" vertical="center"/>
    </xf>
    <xf numFmtId="0" fontId="1" fillId="0" borderId="2" xfId="0" applyFont="1" applyFill="1" applyBorder="1" applyAlignment="1">
      <alignment horizontal="right" vertical="center" wrapText="1"/>
    </xf>
    <xf numFmtId="0" fontId="13" fillId="0" borderId="0" xfId="0" applyFont="1" applyBorder="1" applyAlignment="1"/>
    <xf numFmtId="0" fontId="13" fillId="0" borderId="0" xfId="0" applyFont="1" applyBorder="1"/>
    <xf numFmtId="0" fontId="13" fillId="0" borderId="0" xfId="0" applyFont="1" applyAlignment="1">
      <alignment vertical="center"/>
    </xf>
    <xf numFmtId="0" fontId="54" fillId="2" borderId="2"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55" fillId="2" borderId="2" xfId="0" applyFont="1" applyFill="1" applyBorder="1" applyAlignment="1">
      <alignment horizontal="left" vertical="center" wrapText="1"/>
    </xf>
    <xf numFmtId="0" fontId="55" fillId="2" borderId="2" xfId="0" applyFont="1" applyFill="1" applyBorder="1" applyAlignment="1">
      <alignment horizontal="center" vertical="center" wrapText="1"/>
    </xf>
    <xf numFmtId="49" fontId="55" fillId="2" borderId="2" xfId="0" applyNumberFormat="1" applyFont="1" applyFill="1" applyBorder="1" applyAlignment="1">
      <alignment horizontal="left" vertical="center" wrapText="1"/>
    </xf>
    <xf numFmtId="2" fontId="19" fillId="2" borderId="2" xfId="0" applyNumberFormat="1" applyFont="1" applyFill="1" applyBorder="1" applyAlignment="1">
      <alignment horizontal="center" vertical="center"/>
    </xf>
    <xf numFmtId="0" fontId="19" fillId="2" borderId="2" xfId="0" applyFont="1" applyFill="1" applyBorder="1" applyAlignment="1">
      <alignment horizontal="center"/>
    </xf>
    <xf numFmtId="0" fontId="55" fillId="2" borderId="2" xfId="0" applyFont="1" applyFill="1" applyBorder="1" applyAlignment="1">
      <alignment vertical="center" wrapText="1"/>
    </xf>
    <xf numFmtId="49" fontId="55" fillId="2" borderId="2" xfId="0" applyNumberFormat="1" applyFont="1" applyFill="1" applyBorder="1" applyAlignment="1">
      <alignment vertical="center" wrapText="1"/>
    </xf>
    <xf numFmtId="0" fontId="19" fillId="2" borderId="2" xfId="0" applyFont="1" applyFill="1" applyBorder="1"/>
    <xf numFmtId="0" fontId="19" fillId="0" borderId="0" xfId="0" applyFont="1"/>
    <xf numFmtId="49" fontId="13" fillId="2" borderId="2" xfId="0" applyNumberFormat="1" applyFont="1" applyFill="1" applyBorder="1" applyAlignment="1">
      <alignment horizontal="center"/>
    </xf>
    <xf numFmtId="0" fontId="54" fillId="2" borderId="2" xfId="0" applyFont="1" applyFill="1" applyBorder="1" applyAlignment="1">
      <alignment vertical="center" wrapText="1"/>
    </xf>
    <xf numFmtId="49" fontId="54" fillId="2" borderId="2" xfId="0" applyNumberFormat="1" applyFont="1" applyFill="1" applyBorder="1" applyAlignment="1">
      <alignment horizontal="center" vertical="center" wrapText="1"/>
    </xf>
    <xf numFmtId="0" fontId="13" fillId="2" borderId="2" xfId="0" applyFont="1" applyFill="1" applyBorder="1"/>
    <xf numFmtId="49" fontId="19" fillId="2" borderId="2" xfId="0" applyNumberFormat="1" applyFont="1" applyFill="1" applyBorder="1" applyAlignment="1">
      <alignment horizontal="center"/>
    </xf>
    <xf numFmtId="4" fontId="19" fillId="2" borderId="2" xfId="0" applyNumberFormat="1" applyFont="1" applyFill="1" applyBorder="1"/>
    <xf numFmtId="0" fontId="54" fillId="2" borderId="1" xfId="0" applyFont="1" applyFill="1" applyBorder="1" applyAlignment="1">
      <alignment vertical="center" wrapText="1"/>
    </xf>
    <xf numFmtId="4" fontId="13" fillId="2" borderId="2" xfId="0" applyNumberFormat="1" applyFont="1" applyFill="1" applyBorder="1"/>
    <xf numFmtId="0" fontId="19" fillId="0" borderId="2" xfId="0" applyFont="1" applyBorder="1" applyAlignment="1">
      <alignment horizontal="center"/>
    </xf>
    <xf numFmtId="0" fontId="13" fillId="0" borderId="2" xfId="0" applyFont="1" applyBorder="1" applyAlignment="1">
      <alignment horizontal="center"/>
    </xf>
    <xf numFmtId="0" fontId="1" fillId="2" borderId="2" xfId="0" applyFont="1" applyFill="1" applyBorder="1" applyAlignment="1">
      <alignment horizontal="center" vertical="center"/>
    </xf>
    <xf numFmtId="2" fontId="6" fillId="0" borderId="2" xfId="0" applyNumberFormat="1" applyFont="1" applyFill="1" applyBorder="1" applyAlignment="1">
      <alignment horizontal="left" vertical="center" wrapText="1"/>
    </xf>
    <xf numFmtId="0" fontId="1" fillId="0" borderId="2" xfId="0" applyFont="1" applyBorder="1"/>
    <xf numFmtId="9" fontId="1" fillId="2" borderId="2" xfId="0" applyNumberFormat="1" applyFont="1" applyFill="1" applyBorder="1" applyAlignment="1">
      <alignment horizontal="center" vertical="center" wrapText="1"/>
    </xf>
    <xf numFmtId="0" fontId="1" fillId="0" borderId="2" xfId="0" applyFont="1" applyFill="1" applyBorder="1" applyAlignment="1">
      <alignment horizontal="right" vertical="center"/>
    </xf>
    <xf numFmtId="169" fontId="16" fillId="2" borderId="2" xfId="0" applyNumberFormat="1" applyFont="1" applyFill="1" applyBorder="1" applyAlignment="1">
      <alignment horizontal="center"/>
    </xf>
    <xf numFmtId="0" fontId="1" fillId="0" borderId="2" xfId="0" applyFont="1" applyBorder="1" applyAlignment="1">
      <alignment horizontal="center" vertical="center"/>
    </xf>
    <xf numFmtId="49" fontId="1" fillId="0" borderId="2" xfId="0" applyNumberFormat="1" applyFont="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65" fontId="1" fillId="0" borderId="1" xfId="0" applyNumberFormat="1" applyFont="1" applyBorder="1" applyAlignment="1"/>
    <xf numFmtId="165" fontId="14" fillId="0" borderId="2" xfId="0" applyNumberFormat="1" applyFont="1" applyBorder="1" applyAlignment="1"/>
    <xf numFmtId="165" fontId="14" fillId="0" borderId="2" xfId="0" applyNumberFormat="1" applyFont="1" applyFill="1" applyBorder="1" applyAlignment="1"/>
    <xf numFmtId="0" fontId="24" fillId="2" borderId="0" xfId="0" applyFont="1" applyFill="1" applyAlignment="1"/>
    <xf numFmtId="0" fontId="24" fillId="2" borderId="2" xfId="0" applyFont="1" applyFill="1" applyBorder="1" applyAlignment="1"/>
    <xf numFmtId="0" fontId="26" fillId="0" borderId="7" xfId="0" applyFont="1" applyBorder="1" applyAlignment="1">
      <alignment horizontal="left" vertical="center" wrapText="1"/>
    </xf>
    <xf numFmtId="49" fontId="25" fillId="0" borderId="2" xfId="0" applyNumberFormat="1" applyFont="1" applyBorder="1" applyAlignment="1" applyProtection="1">
      <alignment horizontal="center" wrapText="1"/>
    </xf>
    <xf numFmtId="49" fontId="25" fillId="0" borderId="2" xfId="0" applyNumberFormat="1" applyFont="1" applyBorder="1" applyAlignment="1" applyProtection="1">
      <alignment horizontal="center" vertical="center" wrapText="1"/>
    </xf>
    <xf numFmtId="165" fontId="24" fillId="2" borderId="2" xfId="0" applyNumberFormat="1" applyFont="1" applyFill="1" applyBorder="1" applyAlignment="1"/>
    <xf numFmtId="165" fontId="22" fillId="2" borderId="2" xfId="0" applyNumberFormat="1" applyFont="1" applyFill="1" applyBorder="1" applyAlignment="1">
      <alignment horizontal="right" wrapText="1"/>
    </xf>
    <xf numFmtId="165" fontId="24" fillId="2" borderId="2" xfId="0" applyNumberFormat="1" applyFont="1" applyFill="1" applyBorder="1" applyAlignment="1">
      <alignment horizontal="right"/>
    </xf>
    <xf numFmtId="170" fontId="24" fillId="2" borderId="2" xfId="0" applyNumberFormat="1" applyFont="1" applyFill="1" applyBorder="1" applyAlignment="1">
      <alignment vertical="top" wrapText="1"/>
    </xf>
    <xf numFmtId="170" fontId="24" fillId="2" borderId="2" xfId="0" applyNumberFormat="1" applyFont="1" applyFill="1" applyBorder="1" applyAlignment="1"/>
    <xf numFmtId="49" fontId="25" fillId="0" borderId="7" xfId="0" applyNumberFormat="1" applyFont="1" applyBorder="1" applyAlignment="1" applyProtection="1">
      <alignment horizontal="left" vertical="center" wrapText="1"/>
    </xf>
    <xf numFmtId="165" fontId="47" fillId="0" borderId="2" xfId="0" applyNumberFormat="1" applyFont="1" applyBorder="1" applyAlignment="1">
      <alignment horizontal="right"/>
    </xf>
    <xf numFmtId="165" fontId="13" fillId="0" borderId="2" xfId="0" applyNumberFormat="1" applyFont="1" applyBorder="1" applyAlignment="1">
      <alignment horizontal="right"/>
    </xf>
    <xf numFmtId="165" fontId="13" fillId="0" borderId="6" xfId="0" applyNumberFormat="1" applyFont="1" applyBorder="1" applyAlignment="1">
      <alignment horizontal="right"/>
    </xf>
    <xf numFmtId="0" fontId="15" fillId="0" borderId="2" xfId="0" applyFont="1" applyBorder="1" applyAlignment="1">
      <alignment horizontal="center" wrapText="1"/>
    </xf>
    <xf numFmtId="165" fontId="15" fillId="2" borderId="7" xfId="0" applyNumberFormat="1" applyFont="1" applyFill="1" applyBorder="1" applyAlignment="1">
      <alignment horizontal="center" wrapText="1"/>
    </xf>
    <xf numFmtId="165" fontId="15" fillId="2" borderId="2" xfId="0" applyNumberFormat="1" applyFont="1" applyFill="1" applyBorder="1" applyAlignment="1">
      <alignment horizontal="center" wrapText="1"/>
    </xf>
    <xf numFmtId="165" fontId="25" fillId="0" borderId="2" xfId="0" applyNumberFormat="1" applyFont="1" applyFill="1" applyBorder="1" applyAlignment="1">
      <alignment horizontal="right"/>
    </xf>
    <xf numFmtId="165" fontId="25" fillId="0" borderId="6" xfId="0" applyNumberFormat="1" applyFont="1" applyFill="1" applyBorder="1" applyAlignment="1">
      <alignment horizontal="right"/>
    </xf>
    <xf numFmtId="0" fontId="25" fillId="0" borderId="2" xfId="0" applyFont="1" applyBorder="1" applyAlignment="1">
      <alignment horizontal="right"/>
    </xf>
    <xf numFmtId="0" fontId="25" fillId="0" borderId="6" xfId="0" applyFont="1" applyBorder="1" applyAlignment="1">
      <alignment horizontal="right"/>
    </xf>
    <xf numFmtId="1" fontId="15" fillId="2" borderId="7" xfId="0" applyNumberFormat="1" applyFont="1" applyFill="1" applyBorder="1" applyAlignment="1">
      <alignment horizontal="center" wrapText="1"/>
    </xf>
    <xf numFmtId="1" fontId="15" fillId="2" borderId="2" xfId="0" applyNumberFormat="1" applyFont="1" applyFill="1" applyBorder="1" applyAlignment="1">
      <alignment horizontal="center" wrapText="1"/>
    </xf>
    <xf numFmtId="170" fontId="15" fillId="2" borderId="7" xfId="0" applyNumberFormat="1" applyFont="1" applyFill="1" applyBorder="1" applyAlignment="1">
      <alignment horizontal="center" wrapText="1"/>
    </xf>
    <xf numFmtId="49" fontId="25" fillId="0" borderId="7" xfId="0" applyNumberFormat="1" applyFont="1" applyFill="1" applyBorder="1" applyAlignment="1" applyProtection="1">
      <alignment horizontal="left" vertical="center" wrapText="1"/>
    </xf>
    <xf numFmtId="49" fontId="25" fillId="0" borderId="2" xfId="0" applyNumberFormat="1" applyFont="1" applyFill="1" applyBorder="1" applyAlignment="1" applyProtection="1">
      <alignment horizontal="center" wrapText="1"/>
    </xf>
    <xf numFmtId="165" fontId="47" fillId="0" borderId="2" xfId="0" applyNumberFormat="1" applyFont="1" applyFill="1" applyBorder="1" applyAlignment="1">
      <alignment horizontal="right"/>
    </xf>
    <xf numFmtId="170" fontId="24" fillId="2" borderId="2" xfId="0" applyNumberFormat="1" applyFont="1" applyFill="1" applyBorder="1" applyAlignment="1">
      <alignment horizontal="right" wrapText="1"/>
    </xf>
    <xf numFmtId="170" fontId="24" fillId="2" borderId="11" xfId="0" applyNumberFormat="1" applyFont="1" applyFill="1" applyBorder="1" applyAlignment="1">
      <alignment vertical="top" wrapText="1"/>
    </xf>
    <xf numFmtId="49" fontId="47" fillId="0" borderId="2" xfId="0" applyNumberFormat="1" applyFont="1" applyFill="1" applyBorder="1" applyAlignment="1" applyProtection="1">
      <alignment horizontal="center" wrapText="1"/>
    </xf>
    <xf numFmtId="165" fontId="47" fillId="0" borderId="2" xfId="0" applyNumberFormat="1" applyFont="1" applyFill="1" applyBorder="1" applyAlignment="1" applyProtection="1">
      <alignment horizontal="right" wrapText="1"/>
    </xf>
    <xf numFmtId="165" fontId="25" fillId="0" borderId="2" xfId="0" applyNumberFormat="1" applyFont="1" applyFill="1" applyBorder="1" applyAlignment="1" applyProtection="1">
      <alignment horizontal="right" wrapText="1"/>
    </xf>
    <xf numFmtId="165" fontId="13" fillId="0" borderId="2" xfId="0" applyNumberFormat="1" applyFont="1" applyFill="1" applyBorder="1" applyAlignment="1" applyProtection="1">
      <alignment horizontal="right" wrapText="1"/>
    </xf>
    <xf numFmtId="165" fontId="13" fillId="0" borderId="2" xfId="0" applyNumberFormat="1" applyFont="1" applyFill="1" applyBorder="1" applyAlignment="1">
      <alignment horizontal="right"/>
    </xf>
    <xf numFmtId="0" fontId="25" fillId="0" borderId="7" xfId="0" applyNumberFormat="1" applyFont="1" applyBorder="1" applyAlignment="1" applyProtection="1">
      <alignment horizontal="left" vertical="center" wrapText="1"/>
    </xf>
    <xf numFmtId="49" fontId="47" fillId="0" borderId="7" xfId="0" applyNumberFormat="1" applyFont="1" applyFill="1" applyBorder="1" applyAlignment="1" applyProtection="1">
      <alignment horizontal="left" vertical="center" wrapText="1"/>
    </xf>
    <xf numFmtId="49" fontId="47" fillId="0" borderId="2" xfId="0" applyNumberFormat="1" applyFont="1" applyFill="1" applyBorder="1" applyAlignment="1" applyProtection="1">
      <alignment horizontal="center" vertical="center" wrapText="1"/>
    </xf>
    <xf numFmtId="0" fontId="25" fillId="0" borderId="17" xfId="0" applyNumberFormat="1" applyFont="1" applyFill="1" applyBorder="1" applyAlignment="1" applyProtection="1">
      <alignment horizontal="left" vertical="center" wrapText="1"/>
    </xf>
    <xf numFmtId="0" fontId="25" fillId="0" borderId="17" xfId="0" applyNumberFormat="1" applyFont="1" applyFill="1" applyBorder="1" applyAlignment="1" applyProtection="1">
      <alignment horizontal="left" vertical="top" wrapText="1"/>
    </xf>
    <xf numFmtId="0" fontId="25" fillId="0" borderId="17" xfId="0" applyNumberFormat="1" applyFont="1" applyFill="1" applyBorder="1" applyAlignment="1" applyProtection="1">
      <alignment vertical="top" wrapText="1"/>
    </xf>
    <xf numFmtId="0" fontId="26" fillId="0" borderId="18" xfId="0" applyNumberFormat="1" applyFont="1" applyFill="1" applyBorder="1" applyAlignment="1" applyProtection="1">
      <alignment vertical="top" wrapText="1"/>
    </xf>
    <xf numFmtId="0" fontId="26" fillId="0" borderId="7" xfId="0" applyNumberFormat="1" applyFont="1" applyFill="1" applyBorder="1" applyAlignment="1" applyProtection="1">
      <alignment vertical="top" wrapText="1"/>
    </xf>
    <xf numFmtId="0" fontId="8" fillId="0" borderId="7" xfId="0" applyFont="1" applyFill="1" applyBorder="1" applyAlignment="1">
      <alignment vertical="center" wrapText="1"/>
    </xf>
    <xf numFmtId="0" fontId="8" fillId="0" borderId="7" xfId="0" applyFont="1" applyFill="1" applyBorder="1" applyAlignment="1">
      <alignment vertical="top" wrapText="1"/>
    </xf>
    <xf numFmtId="0" fontId="8" fillId="0" borderId="7" xfId="0" applyFont="1" applyFill="1" applyBorder="1" applyAlignment="1">
      <alignment horizontal="left" vertical="top" wrapText="1"/>
    </xf>
    <xf numFmtId="4" fontId="13" fillId="0" borderId="7" xfId="0" applyNumberFormat="1" applyFont="1" applyFill="1" applyBorder="1" applyAlignment="1">
      <alignment horizontal="left" vertical="center" wrapText="1"/>
    </xf>
    <xf numFmtId="4" fontId="13" fillId="0" borderId="7" xfId="0" applyNumberFormat="1" applyFont="1" applyFill="1" applyBorder="1" applyAlignment="1">
      <alignment horizontal="left" vertical="top" wrapText="1"/>
    </xf>
    <xf numFmtId="4" fontId="13" fillId="0" borderId="7" xfId="0" applyNumberFormat="1" applyFont="1" applyFill="1" applyBorder="1" applyAlignment="1">
      <alignment horizontal="center" vertical="center" wrapText="1"/>
    </xf>
    <xf numFmtId="49" fontId="20" fillId="0" borderId="2" xfId="0" applyNumberFormat="1" applyFont="1" applyFill="1" applyBorder="1" applyAlignment="1" applyProtection="1">
      <alignment horizontal="center" wrapText="1"/>
    </xf>
    <xf numFmtId="49" fontId="20" fillId="0" borderId="2" xfId="0" applyNumberFormat="1" applyFont="1" applyFill="1" applyBorder="1" applyAlignment="1" applyProtection="1">
      <alignment horizontal="center" vertical="center" wrapText="1"/>
    </xf>
    <xf numFmtId="165" fontId="14" fillId="0" borderId="2" xfId="0" applyNumberFormat="1" applyFont="1" applyFill="1" applyBorder="1" applyAlignment="1" applyProtection="1">
      <alignment horizontal="right" wrapText="1"/>
    </xf>
    <xf numFmtId="49" fontId="20" fillId="0" borderId="7" xfId="0" applyNumberFormat="1" applyFont="1" applyFill="1" applyBorder="1" applyAlignment="1" applyProtection="1">
      <alignment horizontal="left" vertical="center" wrapText="1"/>
    </xf>
    <xf numFmtId="49" fontId="14" fillId="0" borderId="2" xfId="0" applyNumberFormat="1" applyFont="1" applyFill="1" applyBorder="1" applyAlignment="1" applyProtection="1">
      <alignment horizontal="center" vertical="center" wrapText="1"/>
    </xf>
    <xf numFmtId="165" fontId="20" fillId="0" borderId="2" xfId="0" applyNumberFormat="1" applyFont="1" applyFill="1" applyBorder="1" applyAlignment="1">
      <alignment horizontal="right"/>
    </xf>
    <xf numFmtId="0" fontId="24" fillId="2" borderId="0" xfId="0" applyFont="1" applyFill="1" applyAlignment="1">
      <alignment horizontal="right"/>
    </xf>
    <xf numFmtId="0" fontId="24" fillId="2" borderId="0" xfId="0" applyFont="1" applyFill="1" applyAlignment="1">
      <alignment wrapText="1"/>
    </xf>
    <xf numFmtId="0" fontId="24" fillId="2" borderId="0" xfId="0" applyFont="1" applyFill="1" applyAlignment="1">
      <alignment vertical="top" wrapText="1"/>
    </xf>
    <xf numFmtId="0" fontId="15" fillId="0" borderId="0" xfId="0" applyFont="1" applyBorder="1" applyAlignment="1">
      <alignment horizontal="center" vertical="center"/>
    </xf>
    <xf numFmtId="165" fontId="47" fillId="0" borderId="6" xfId="0" applyNumberFormat="1" applyFont="1" applyBorder="1" applyAlignment="1">
      <alignment horizontal="right"/>
    </xf>
    <xf numFmtId="170" fontId="24" fillId="2" borderId="7" xfId="0" applyNumberFormat="1" applyFont="1" applyFill="1" applyBorder="1" applyAlignment="1"/>
    <xf numFmtId="0" fontId="3" fillId="0" borderId="0" xfId="0" applyFont="1" applyAlignment="1"/>
    <xf numFmtId="0" fontId="3" fillId="0" borderId="0" xfId="0" applyFont="1"/>
    <xf numFmtId="0" fontId="3" fillId="0" borderId="0" xfId="0" applyFont="1" applyAlignment="1">
      <alignment horizontal="left"/>
    </xf>
    <xf numFmtId="49" fontId="57" fillId="0" borderId="2" xfId="0" applyNumberFormat="1" applyFont="1" applyFill="1" applyBorder="1" applyAlignment="1" applyProtection="1">
      <alignment horizontal="left" vertical="center" wrapText="1"/>
    </xf>
    <xf numFmtId="49" fontId="22" fillId="0" borderId="2" xfId="0" applyNumberFormat="1" applyFont="1" applyBorder="1" applyAlignment="1">
      <alignment horizontal="center" vertical="center"/>
    </xf>
    <xf numFmtId="165" fontId="22" fillId="2" borderId="2" xfId="0" applyNumberFormat="1" applyFont="1" applyFill="1" applyBorder="1" applyAlignment="1">
      <alignment horizontal="center" vertical="center" wrapText="1"/>
    </xf>
    <xf numFmtId="0" fontId="1" fillId="0" borderId="2" xfId="0" applyNumberFormat="1" applyFont="1" applyBorder="1" applyAlignment="1">
      <alignment horizontal="center" vertical="center"/>
    </xf>
    <xf numFmtId="49" fontId="42" fillId="2" borderId="2" xfId="0" applyNumberFormat="1" applyFont="1" applyFill="1" applyBorder="1" applyAlignment="1" applyProtection="1">
      <alignment horizontal="left" vertical="center" wrapText="1"/>
    </xf>
    <xf numFmtId="0" fontId="1" fillId="2" borderId="2" xfId="0" applyFont="1" applyFill="1" applyBorder="1"/>
    <xf numFmtId="49" fontId="47" fillId="2" borderId="2" xfId="1" applyNumberFormat="1" applyFont="1" applyFill="1" applyBorder="1" applyAlignment="1" applyProtection="1">
      <alignment horizontal="center" vertical="center" wrapText="1"/>
    </xf>
    <xf numFmtId="165" fontId="47"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8" fillId="2" borderId="2" xfId="0" applyFont="1" applyFill="1" applyBorder="1" applyAlignment="1">
      <alignment horizontal="center" vertical="center"/>
    </xf>
    <xf numFmtId="0" fontId="8" fillId="0" borderId="2" xfId="0" applyFont="1" applyBorder="1" applyAlignment="1">
      <alignment horizontal="center" vertical="center"/>
    </xf>
    <xf numFmtId="49" fontId="42" fillId="2" borderId="2" xfId="0" applyNumberFormat="1" applyFont="1" applyFill="1" applyBorder="1" applyAlignment="1" applyProtection="1">
      <alignment horizontal="center" vertical="center" wrapText="1"/>
    </xf>
    <xf numFmtId="49" fontId="13" fillId="2" borderId="2" xfId="1" applyNumberFormat="1" applyFont="1" applyFill="1" applyBorder="1" applyAlignment="1" applyProtection="1">
      <alignment horizontal="center" vertical="center" wrapText="1"/>
    </xf>
    <xf numFmtId="0" fontId="42" fillId="2" borderId="2" xfId="0" applyNumberFormat="1" applyFont="1" applyFill="1" applyBorder="1" applyAlignment="1" applyProtection="1">
      <alignment horizontal="left" vertical="center" wrapText="1"/>
    </xf>
    <xf numFmtId="49" fontId="42" fillId="0" borderId="2" xfId="0" applyNumberFormat="1" applyFont="1" applyBorder="1" applyAlignment="1" applyProtection="1">
      <alignment horizontal="left" vertical="center" wrapText="1"/>
    </xf>
    <xf numFmtId="49" fontId="47" fillId="0" borderId="2" xfId="1" applyNumberFormat="1" applyFont="1" applyFill="1" applyBorder="1" applyAlignment="1" applyProtection="1">
      <alignment horizontal="center" vertical="center" wrapText="1"/>
    </xf>
    <xf numFmtId="165" fontId="47" fillId="2" borderId="8" xfId="0" applyNumberFormat="1" applyFont="1" applyFill="1" applyBorder="1" applyAlignment="1">
      <alignment horizontal="center" vertical="center"/>
    </xf>
    <xf numFmtId="0" fontId="8" fillId="0" borderId="2" xfId="0" applyFont="1" applyBorder="1"/>
    <xf numFmtId="49" fontId="42" fillId="0" borderId="2" xfId="0" applyNumberFormat="1" applyFont="1" applyBorder="1" applyAlignment="1" applyProtection="1">
      <alignment horizontal="center" vertical="center" wrapText="1"/>
    </xf>
    <xf numFmtId="49" fontId="13" fillId="0" borderId="2" xfId="1" applyNumberFormat="1" applyFont="1" applyBorder="1" applyAlignment="1" applyProtection="1">
      <alignment horizontal="center" vertical="center" wrapText="1"/>
    </xf>
    <xf numFmtId="165" fontId="20" fillId="0" borderId="4" xfId="0" applyNumberFormat="1" applyFont="1" applyFill="1" applyBorder="1" applyAlignment="1">
      <alignment horizontal="center" vertical="center"/>
    </xf>
    <xf numFmtId="0" fontId="2" fillId="0" borderId="0" xfId="0" applyFont="1"/>
    <xf numFmtId="0" fontId="32" fillId="0" borderId="0" xfId="0" applyFont="1"/>
    <xf numFmtId="49" fontId="42" fillId="0" borderId="2" xfId="0" applyNumberFormat="1" applyFont="1" applyFill="1" applyBorder="1" applyAlignment="1" applyProtection="1">
      <alignment horizontal="left" vertical="center" wrapText="1"/>
    </xf>
    <xf numFmtId="0" fontId="25" fillId="0" borderId="0" xfId="0" applyFont="1" applyFill="1" applyAlignment="1">
      <alignment horizontal="center"/>
    </xf>
    <xf numFmtId="0" fontId="10" fillId="0" borderId="0" xfId="0" applyFont="1" applyFill="1" applyAlignment="1">
      <alignment horizontal="left"/>
    </xf>
    <xf numFmtId="0" fontId="10" fillId="0" borderId="0" xfId="0" applyFont="1" applyFill="1" applyAlignment="1">
      <alignment horizontal="center"/>
    </xf>
    <xf numFmtId="0" fontId="10" fillId="0" borderId="0" xfId="0" applyFont="1" applyFill="1" applyAlignment="1">
      <alignment horizontal="center" wrapText="1"/>
    </xf>
    <xf numFmtId="0" fontId="25" fillId="0" borderId="0" xfId="0" applyFont="1" applyFill="1"/>
    <xf numFmtId="0" fontId="8" fillId="0" borderId="0" xfId="0" applyFont="1" applyFill="1" applyAlignment="1">
      <alignment vertical="center"/>
    </xf>
    <xf numFmtId="0" fontId="47" fillId="0" borderId="2" xfId="0" applyFont="1" applyFill="1" applyBorder="1" applyAlignment="1">
      <alignment horizontal="center" wrapText="1"/>
    </xf>
    <xf numFmtId="0" fontId="22" fillId="0" borderId="2" xfId="0" applyFont="1" applyFill="1" applyBorder="1" applyAlignment="1">
      <alignment horizontal="center" wrapText="1"/>
    </xf>
    <xf numFmtId="0" fontId="14" fillId="0" borderId="0" xfId="0" applyFont="1" applyFill="1" applyAlignment="1">
      <alignment horizontal="center"/>
    </xf>
    <xf numFmtId="0" fontId="47" fillId="0" borderId="2" xfId="0" applyFont="1" applyFill="1" applyBorder="1" applyAlignment="1">
      <alignment horizontal="center"/>
    </xf>
    <xf numFmtId="4" fontId="47" fillId="0" borderId="2" xfId="1" applyNumberFormat="1" applyFont="1" applyFill="1" applyBorder="1" applyAlignment="1">
      <alignment vertical="center" wrapText="1"/>
    </xf>
    <xf numFmtId="0" fontId="47" fillId="0" borderId="2" xfId="0" applyFont="1" applyFill="1" applyBorder="1" applyAlignment="1"/>
    <xf numFmtId="49" fontId="47" fillId="0" borderId="2" xfId="0" applyNumberFormat="1" applyFont="1" applyFill="1" applyBorder="1" applyAlignment="1">
      <alignment horizontal="center" vertical="center" wrapText="1"/>
    </xf>
    <xf numFmtId="0" fontId="47" fillId="0" borderId="2" xfId="0" applyFont="1" applyFill="1" applyBorder="1" applyAlignment="1">
      <alignment vertical="top"/>
    </xf>
    <xf numFmtId="166" fontId="25" fillId="0" borderId="0" xfId="0" applyNumberFormat="1" applyFont="1" applyFill="1"/>
    <xf numFmtId="0" fontId="25" fillId="0" borderId="2" xfId="0" applyFont="1" applyFill="1" applyBorder="1" applyAlignment="1">
      <alignment horizontal="left" vertical="top" wrapText="1"/>
    </xf>
    <xf numFmtId="0" fontId="25" fillId="0" borderId="2" xfId="0" applyFont="1" applyFill="1" applyBorder="1" applyAlignment="1">
      <alignment vertical="top"/>
    </xf>
    <xf numFmtId="0" fontId="25" fillId="0" borderId="2" xfId="0" applyNumberFormat="1" applyFont="1" applyFill="1" applyBorder="1" applyAlignment="1">
      <alignment horizontal="center"/>
    </xf>
    <xf numFmtId="0" fontId="25" fillId="0" borderId="2" xfId="0" applyFont="1" applyFill="1" applyBorder="1" applyAlignment="1">
      <alignment vertical="top" wrapText="1"/>
    </xf>
    <xf numFmtId="49" fontId="47" fillId="0" borderId="2" xfId="0" applyNumberFormat="1" applyFont="1" applyFill="1" applyBorder="1" applyAlignment="1">
      <alignment horizontal="center" vertical="center"/>
    </xf>
    <xf numFmtId="4" fontId="47" fillId="0" borderId="2" xfId="1" applyNumberFormat="1" applyFont="1" applyFill="1" applyBorder="1" applyAlignment="1">
      <alignment horizontal="left" vertical="center" wrapText="1"/>
    </xf>
    <xf numFmtId="0" fontId="47" fillId="0" borderId="2" xfId="0" applyFont="1" applyFill="1" applyBorder="1" applyAlignment="1">
      <alignment horizontal="center" vertical="center"/>
    </xf>
    <xf numFmtId="0" fontId="47" fillId="0" borderId="2" xfId="0" applyFont="1" applyFill="1" applyBorder="1" applyAlignment="1">
      <alignment horizontal="center" vertical="top"/>
    </xf>
    <xf numFmtId="0" fontId="25" fillId="0" borderId="0" xfId="0" applyFont="1" applyFill="1" applyAlignment="1">
      <alignment horizontal="center" vertical="center"/>
    </xf>
    <xf numFmtId="0" fontId="8" fillId="0" borderId="2" xfId="0" applyFont="1" applyFill="1" applyBorder="1" applyAlignment="1">
      <alignment vertical="top" wrapText="1"/>
    </xf>
    <xf numFmtId="0" fontId="25" fillId="0" borderId="2" xfId="0" applyFont="1" applyFill="1" applyBorder="1" applyAlignment="1">
      <alignment vertical="center" wrapText="1"/>
    </xf>
    <xf numFmtId="167" fontId="25" fillId="0" borderId="2" xfId="0" applyNumberFormat="1" applyFont="1" applyFill="1" applyBorder="1" applyAlignment="1" applyProtection="1">
      <alignment vertical="center" wrapText="1"/>
    </xf>
    <xf numFmtId="16" fontId="47" fillId="0" borderId="2" xfId="0" applyNumberFormat="1" applyFont="1" applyFill="1" applyBorder="1" applyAlignment="1">
      <alignment horizontal="center"/>
    </xf>
    <xf numFmtId="49" fontId="47" fillId="0" borderId="2" xfId="0" applyNumberFormat="1" applyFont="1" applyFill="1" applyBorder="1" applyAlignment="1">
      <alignment horizontal="center"/>
    </xf>
    <xf numFmtId="0" fontId="25" fillId="0" borderId="2" xfId="0" applyFont="1" applyFill="1" applyBorder="1" applyAlignment="1">
      <alignment horizontal="center" vertical="top" wrapText="1"/>
    </xf>
    <xf numFmtId="165" fontId="25" fillId="0" borderId="2" xfId="0" applyNumberFormat="1" applyFont="1" applyFill="1" applyBorder="1" applyAlignment="1">
      <alignment vertical="center" wrapText="1"/>
    </xf>
    <xf numFmtId="0" fontId="43" fillId="0" borderId="0" xfId="0" applyFont="1" applyFill="1"/>
    <xf numFmtId="49" fontId="25" fillId="0" borderId="0" xfId="0" applyNumberFormat="1"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xf numFmtId="0" fontId="25" fillId="0" borderId="0" xfId="0" applyFont="1" applyFill="1" applyBorder="1" applyAlignment="1">
      <alignment wrapText="1"/>
    </xf>
    <xf numFmtId="0" fontId="25" fillId="0" borderId="0" xfId="0" applyFont="1" applyFill="1" applyBorder="1" applyAlignment="1">
      <alignment horizontal="center"/>
    </xf>
    <xf numFmtId="166" fontId="8" fillId="0" borderId="0" xfId="0" applyNumberFormat="1" applyFont="1" applyFill="1" applyBorder="1" applyAlignment="1">
      <alignment horizontal="center"/>
    </xf>
    <xf numFmtId="0" fontId="8" fillId="0" borderId="0" xfId="0" applyFont="1" applyFill="1" applyBorder="1" applyAlignment="1"/>
    <xf numFmtId="0" fontId="25" fillId="0" borderId="0" xfId="0" applyFont="1" applyFill="1" applyBorder="1" applyAlignment="1">
      <alignment horizontal="center" wrapText="1"/>
    </xf>
    <xf numFmtId="166" fontId="4" fillId="0" borderId="0" xfId="0" applyNumberFormat="1" applyFont="1" applyFill="1" applyBorder="1" applyAlignment="1"/>
    <xf numFmtId="4" fontId="4" fillId="0" borderId="0" xfId="0" applyNumberFormat="1" applyFont="1" applyFill="1" applyBorder="1" applyAlignment="1"/>
    <xf numFmtId="4" fontId="25" fillId="0" borderId="0" xfId="0" applyNumberFormat="1" applyFont="1" applyFill="1" applyBorder="1" applyAlignment="1"/>
    <xf numFmtId="4" fontId="8" fillId="0" borderId="0" xfId="0" applyNumberFormat="1" applyFont="1" applyFill="1" applyBorder="1" applyAlignment="1"/>
    <xf numFmtId="166" fontId="8" fillId="0" borderId="0" xfId="0" applyNumberFormat="1" applyFont="1" applyFill="1" applyBorder="1" applyAlignment="1"/>
    <xf numFmtId="0" fontId="25" fillId="0" borderId="0" xfId="0" applyFont="1" applyFill="1" applyAlignment="1">
      <alignment horizontal="left"/>
    </xf>
    <xf numFmtId="0" fontId="25" fillId="0" borderId="0" xfId="0" applyFont="1" applyFill="1" applyAlignment="1">
      <alignment horizontal="center" wrapText="1"/>
    </xf>
    <xf numFmtId="166" fontId="22" fillId="0" borderId="2" xfId="0" applyNumberFormat="1" applyFont="1" applyFill="1" applyBorder="1" applyAlignment="1">
      <alignment horizontal="center" vertical="center"/>
    </xf>
    <xf numFmtId="49" fontId="19" fillId="0" borderId="2" xfId="0" applyNumberFormat="1" applyFont="1" applyBorder="1" applyAlignment="1" applyProtection="1">
      <alignment horizontal="center" vertical="center" wrapText="1"/>
    </xf>
    <xf numFmtId="165" fontId="19" fillId="2" borderId="2" xfId="29" applyNumberFormat="1" applyFont="1" applyFill="1" applyBorder="1" applyAlignment="1">
      <alignment horizontal="right"/>
    </xf>
    <xf numFmtId="165" fontId="13" fillId="2" borderId="2" xfId="29" applyNumberFormat="1" applyFont="1" applyFill="1" applyBorder="1" applyAlignment="1">
      <alignment horizontal="right"/>
    </xf>
    <xf numFmtId="165" fontId="19" fillId="2" borderId="2" xfId="0" applyNumberFormat="1" applyFont="1" applyFill="1" applyBorder="1" applyAlignment="1">
      <alignment horizontal="right"/>
    </xf>
    <xf numFmtId="165" fontId="19" fillId="0" borderId="2" xfId="0" applyNumberFormat="1" applyFont="1" applyBorder="1" applyAlignment="1">
      <alignment horizontal="right"/>
    </xf>
    <xf numFmtId="0" fontId="59" fillId="0" borderId="0" xfId="0" applyFont="1"/>
    <xf numFmtId="0" fontId="59" fillId="0" borderId="0" xfId="0" applyFont="1" applyBorder="1" applyAlignment="1">
      <alignment wrapText="1"/>
    </xf>
    <xf numFmtId="0" fontId="60" fillId="2" borderId="2" xfId="0" applyFont="1" applyFill="1" applyBorder="1" applyAlignment="1">
      <alignment horizontal="center" vertical="center" wrapText="1"/>
    </xf>
    <xf numFmtId="0" fontId="61" fillId="2" borderId="2" xfId="0" applyFont="1" applyFill="1" applyBorder="1" applyAlignment="1">
      <alignment vertical="center" wrapText="1"/>
    </xf>
    <xf numFmtId="0" fontId="59" fillId="2" borderId="2" xfId="0" applyFont="1" applyFill="1" applyBorder="1" applyAlignment="1">
      <alignment vertical="center" wrapText="1"/>
    </xf>
    <xf numFmtId="0" fontId="35" fillId="2" borderId="2" xfId="0" applyFont="1" applyFill="1" applyBorder="1" applyAlignment="1">
      <alignment vertical="center" wrapText="1"/>
    </xf>
    <xf numFmtId="0" fontId="59" fillId="0" borderId="2" xfId="0" applyFont="1" applyBorder="1" applyAlignment="1">
      <alignment wrapText="1"/>
    </xf>
    <xf numFmtId="0" fontId="42" fillId="0" borderId="0" xfId="0" applyFont="1"/>
    <xf numFmtId="0" fontId="62" fillId="2" borderId="2" xfId="0" applyFont="1" applyFill="1" applyBorder="1" applyAlignment="1">
      <alignment horizontal="center" vertical="center" wrapText="1"/>
    </xf>
    <xf numFmtId="2" fontId="57" fillId="2" borderId="2" xfId="0" applyNumberFormat="1" applyFont="1" applyFill="1" applyBorder="1" applyAlignment="1">
      <alignment horizontal="center" vertical="center" wrapText="1"/>
    </xf>
    <xf numFmtId="0" fontId="57" fillId="2" borderId="2" xfId="0" applyFont="1" applyFill="1" applyBorder="1" applyAlignment="1">
      <alignment wrapText="1"/>
    </xf>
    <xf numFmtId="0" fontId="42" fillId="2" borderId="2" xfId="0" applyFont="1" applyFill="1" applyBorder="1" applyAlignment="1">
      <alignment wrapText="1"/>
    </xf>
    <xf numFmtId="0" fontId="42" fillId="2" borderId="2" xfId="0" applyFont="1" applyFill="1" applyBorder="1" applyAlignment="1">
      <alignment horizontal="left" wrapText="1"/>
    </xf>
    <xf numFmtId="4" fontId="57" fillId="2" borderId="2" xfId="0" applyNumberFormat="1" applyFont="1" applyFill="1" applyBorder="1" applyAlignment="1">
      <alignment wrapText="1"/>
    </xf>
    <xf numFmtId="4" fontId="42" fillId="2" borderId="2" xfId="0" applyNumberFormat="1" applyFont="1" applyFill="1" applyBorder="1" applyAlignment="1">
      <alignment wrapText="1"/>
    </xf>
    <xf numFmtId="165" fontId="13" fillId="2" borderId="2" xfId="0" applyNumberFormat="1" applyFont="1" applyFill="1" applyBorder="1" applyAlignment="1">
      <alignment horizontal="center"/>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165" fontId="13" fillId="2" borderId="2" xfId="0" applyNumberFormat="1" applyFont="1" applyFill="1" applyBorder="1" applyAlignment="1">
      <alignment horizontal="right"/>
    </xf>
    <xf numFmtId="165" fontId="13" fillId="2" borderId="2" xfId="0" applyNumberFormat="1" applyFont="1" applyFill="1" applyBorder="1"/>
    <xf numFmtId="49" fontId="14" fillId="2" borderId="2" xfId="0" applyNumberFormat="1" applyFont="1" applyFill="1" applyBorder="1" applyAlignment="1" applyProtection="1">
      <alignment horizontal="left" vertical="center" wrapText="1"/>
    </xf>
    <xf numFmtId="0" fontId="13" fillId="0" borderId="0" xfId="0" applyFont="1"/>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7" xfId="0" applyFont="1" applyFill="1" applyBorder="1" applyAlignment="1">
      <alignment horizontal="center" vertical="center"/>
    </xf>
    <xf numFmtId="0" fontId="20" fillId="0" borderId="2" xfId="0" applyFont="1" applyFill="1" applyBorder="1" applyAlignment="1">
      <alignment wrapText="1"/>
    </xf>
    <xf numFmtId="0" fontId="1" fillId="0" borderId="2" xfId="0" applyFont="1" applyFill="1" applyBorder="1" applyAlignment="1">
      <alignment wrapText="1"/>
    </xf>
    <xf numFmtId="0" fontId="6" fillId="0" borderId="2" xfId="0" applyFont="1" applyFill="1" applyBorder="1" applyAlignment="1">
      <alignment wrapText="1"/>
    </xf>
    <xf numFmtId="49" fontId="20" fillId="0" borderId="2" xfId="0" applyNumberFormat="1" applyFont="1" applyFill="1" applyBorder="1" applyAlignment="1">
      <alignment horizontal="left" vertical="center" wrapText="1"/>
    </xf>
    <xf numFmtId="0" fontId="20" fillId="0" borderId="2" xfId="0" applyNumberFormat="1" applyFont="1" applyFill="1" applyBorder="1" applyAlignment="1">
      <alignment horizontal="left" vertical="center" wrapText="1"/>
    </xf>
    <xf numFmtId="49" fontId="14" fillId="0" borderId="2" xfId="0" applyNumberFormat="1" applyFont="1" applyFill="1" applyBorder="1" applyAlignment="1">
      <alignment horizontal="left" vertical="center" wrapText="1"/>
    </xf>
    <xf numFmtId="0" fontId="13" fillId="0" borderId="0" xfId="0" applyFont="1"/>
    <xf numFmtId="0" fontId="13" fillId="2" borderId="2" xfId="0" applyFont="1" applyFill="1" applyBorder="1" applyAlignment="1">
      <alignment horizontal="center" vertic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25" fillId="0" borderId="1" xfId="0" applyFont="1" applyFill="1" applyBorder="1" applyAlignment="1">
      <alignment vertical="top"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25" fillId="0" borderId="0" xfId="0" applyFont="1" applyFill="1" applyAlignment="1"/>
    <xf numFmtId="0" fontId="25" fillId="0" borderId="0" xfId="0" applyFont="1" applyFill="1" applyAlignment="1">
      <alignment horizontal="left" vertical="top"/>
    </xf>
    <xf numFmtId="0" fontId="8" fillId="0" borderId="0" xfId="0" applyFont="1" applyFill="1" applyBorder="1" applyAlignment="1">
      <alignment vertical="center"/>
    </xf>
    <xf numFmtId="0" fontId="47" fillId="0" borderId="2" xfId="0" applyFont="1" applyFill="1" applyBorder="1" applyAlignment="1">
      <alignment horizontal="center" vertical="top" wrapText="1"/>
    </xf>
    <xf numFmtId="0" fontId="47" fillId="0" borderId="2" xfId="0" applyFont="1" applyFill="1" applyBorder="1" applyAlignment="1">
      <alignment horizontal="left" vertical="center" wrapText="1"/>
    </xf>
    <xf numFmtId="0" fontId="47" fillId="0" borderId="2" xfId="0" applyFont="1" applyFill="1" applyBorder="1"/>
    <xf numFmtId="0" fontId="8" fillId="0" borderId="2" xfId="0" applyNumberFormat="1" applyFont="1" applyFill="1" applyBorder="1" applyAlignment="1">
      <alignment vertical="center" wrapText="1"/>
    </xf>
    <xf numFmtId="165" fontId="25" fillId="0" borderId="2" xfId="0" applyNumberFormat="1" applyFont="1" applyFill="1" applyBorder="1" applyAlignment="1">
      <alignment horizontal="center" vertical="center"/>
    </xf>
    <xf numFmtId="0" fontId="25" fillId="0" borderId="2" xfId="0" applyFont="1" applyFill="1" applyBorder="1" applyAlignment="1">
      <alignment vertical="center"/>
    </xf>
    <xf numFmtId="0" fontId="22" fillId="0" borderId="2" xfId="0" applyFont="1" applyBorder="1" applyAlignment="1">
      <alignment horizontal="left" vertical="top" wrapText="1"/>
    </xf>
    <xf numFmtId="0" fontId="6" fillId="0" borderId="2" xfId="0" applyFont="1" applyBorder="1" applyAlignment="1">
      <alignment horizontal="center"/>
    </xf>
    <xf numFmtId="165" fontId="6" fillId="0" borderId="2" xfId="0" applyNumberFormat="1" applyFont="1" applyFill="1" applyBorder="1" applyAlignment="1">
      <alignment horizontal="center"/>
    </xf>
    <xf numFmtId="0" fontId="1" fillId="0" borderId="2" xfId="0" applyNumberFormat="1" applyFont="1" applyBorder="1" applyAlignment="1">
      <alignment horizontal="left"/>
    </xf>
    <xf numFmtId="0" fontId="22" fillId="0" borderId="2" xfId="0" applyFont="1" applyBorder="1" applyAlignment="1">
      <alignment vertical="center" wrapText="1"/>
    </xf>
    <xf numFmtId="165" fontId="20" fillId="0" borderId="2" xfId="0" applyNumberFormat="1" applyFont="1" applyFill="1" applyBorder="1" applyAlignment="1">
      <alignment horizontal="center"/>
    </xf>
    <xf numFmtId="49" fontId="1" fillId="0" borderId="2" xfId="0" applyNumberFormat="1" applyFont="1" applyBorder="1"/>
    <xf numFmtId="0" fontId="1" fillId="0" borderId="2" xfId="0" applyFont="1" applyBorder="1" applyAlignment="1">
      <alignment horizontal="center"/>
    </xf>
    <xf numFmtId="0" fontId="8" fillId="0" borderId="2" xfId="0" applyFont="1" applyBorder="1" applyAlignment="1">
      <alignment vertical="center" wrapText="1"/>
    </xf>
    <xf numFmtId="165" fontId="14" fillId="0" borderId="2" xfId="0" applyNumberFormat="1" applyFont="1" applyFill="1" applyBorder="1" applyAlignment="1">
      <alignment horizontal="center"/>
    </xf>
    <xf numFmtId="165" fontId="1" fillId="0" borderId="2" xfId="0" applyNumberFormat="1" applyFont="1" applyFill="1" applyBorder="1" applyAlignment="1">
      <alignment horizontal="center"/>
    </xf>
    <xf numFmtId="0" fontId="22" fillId="0" borderId="2" xfId="0" applyFont="1" applyFill="1" applyBorder="1" applyAlignment="1">
      <alignment vertical="top" wrapText="1"/>
    </xf>
    <xf numFmtId="165" fontId="20" fillId="0" borderId="2" xfId="0" applyNumberFormat="1" applyFont="1" applyFill="1" applyBorder="1" applyAlignment="1" applyProtection="1">
      <alignment horizontal="center" wrapText="1"/>
    </xf>
    <xf numFmtId="0" fontId="47" fillId="0" borderId="2" xfId="0" applyFont="1" applyFill="1" applyBorder="1" applyAlignment="1">
      <alignment vertical="center" wrapText="1"/>
    </xf>
    <xf numFmtId="0" fontId="15" fillId="0" borderId="2" xfId="5" applyFont="1" applyFill="1" applyBorder="1" applyAlignment="1">
      <alignment horizontal="center" vertical="center" wrapText="1"/>
    </xf>
    <xf numFmtId="0" fontId="15" fillId="2" borderId="2" xfId="5" applyFont="1" applyFill="1" applyBorder="1" applyAlignment="1">
      <alignment horizontal="center" vertical="center"/>
    </xf>
    <xf numFmtId="167" fontId="25" fillId="0" borderId="2" xfId="1" applyNumberFormat="1" applyFont="1" applyFill="1" applyBorder="1" applyAlignment="1" applyProtection="1">
      <alignment horizontal="left" vertical="center" wrapText="1"/>
    </xf>
    <xf numFmtId="0" fontId="1" fillId="0" borderId="2" xfId="0" applyFont="1" applyFill="1" applyBorder="1" applyAlignment="1">
      <alignment horizontal="center"/>
    </xf>
    <xf numFmtId="167" fontId="25" fillId="0" borderId="2" xfId="1" applyNumberFormat="1" applyFont="1" applyFill="1" applyBorder="1" applyAlignment="1" applyProtection="1">
      <alignment horizontal="left" vertical="top" wrapText="1"/>
    </xf>
    <xf numFmtId="49" fontId="25" fillId="0" borderId="2" xfId="1" applyNumberFormat="1" applyFont="1" applyFill="1" applyBorder="1" applyAlignment="1" applyProtection="1">
      <alignment horizontal="left" vertical="center" wrapText="1"/>
    </xf>
    <xf numFmtId="49" fontId="1" fillId="0" borderId="2" xfId="0" applyNumberFormat="1" applyFont="1" applyFill="1" applyBorder="1"/>
    <xf numFmtId="0" fontId="22" fillId="0" borderId="2" xfId="0" applyFont="1" applyFill="1" applyBorder="1" applyAlignment="1">
      <alignment vertical="center" wrapText="1"/>
    </xf>
    <xf numFmtId="167" fontId="47" fillId="0" borderId="2" xfId="1" applyNumberFormat="1" applyFont="1" applyFill="1" applyBorder="1" applyAlignment="1" applyProtection="1">
      <alignment horizontal="left" vertical="center" wrapText="1"/>
    </xf>
    <xf numFmtId="0" fontId="15" fillId="2" borderId="0" xfId="5" applyFont="1" applyFill="1" applyBorder="1" applyAlignment="1">
      <alignment horizontal="center" vertical="center"/>
    </xf>
    <xf numFmtId="49" fontId="22" fillId="0" borderId="2" xfId="0" applyNumberFormat="1" applyFont="1" applyFill="1" applyBorder="1" applyAlignment="1" applyProtection="1">
      <alignment horizontal="left" vertical="center" wrapText="1"/>
    </xf>
    <xf numFmtId="0" fontId="0" fillId="0" borderId="0" xfId="0" applyBorder="1"/>
    <xf numFmtId="165" fontId="2" fillId="0" borderId="0" xfId="0" applyNumberFormat="1" applyFont="1"/>
    <xf numFmtId="165" fontId="32" fillId="0" borderId="0" xfId="0" applyNumberFormat="1" applyFont="1"/>
    <xf numFmtId="0" fontId="5" fillId="0" borderId="0" xfId="0" applyFont="1" applyFill="1"/>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NumberFormat="1" applyFont="1" applyFill="1" applyAlignment="1">
      <alignment horizontal="center" vertical="center"/>
    </xf>
    <xf numFmtId="165" fontId="5" fillId="0" borderId="0" xfId="0" applyNumberFormat="1"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right" vertical="center"/>
    </xf>
    <xf numFmtId="0" fontId="38" fillId="0" borderId="2" xfId="0" applyFont="1" applyFill="1" applyBorder="1" applyAlignment="1">
      <alignment vertical="center"/>
    </xf>
    <xf numFmtId="0" fontId="38" fillId="0" borderId="2" xfId="0" applyNumberFormat="1" applyFont="1" applyFill="1" applyBorder="1" applyAlignment="1">
      <alignment horizontal="center" vertical="center" wrapText="1"/>
    </xf>
    <xf numFmtId="165" fontId="38" fillId="0" borderId="2" xfId="0" applyNumberFormat="1" applyFont="1" applyFill="1" applyBorder="1" applyAlignment="1">
      <alignment horizontal="center" vertical="center" wrapText="1"/>
    </xf>
    <xf numFmtId="0" fontId="38"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2" xfId="0" applyNumberFormat="1" applyFont="1" applyFill="1" applyBorder="1" applyAlignment="1">
      <alignment horizontal="left"/>
    </xf>
    <xf numFmtId="0" fontId="37" fillId="0" borderId="2" xfId="0" applyFont="1" applyFill="1" applyBorder="1" applyAlignment="1">
      <alignment vertical="center"/>
    </xf>
    <xf numFmtId="0" fontId="37" fillId="0" borderId="2" xfId="0" applyFont="1" applyFill="1" applyBorder="1" applyAlignment="1">
      <alignment vertical="center" wrapText="1"/>
    </xf>
    <xf numFmtId="49" fontId="37" fillId="0" borderId="2" xfId="0" applyNumberFormat="1" applyFont="1" applyFill="1" applyBorder="1"/>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vertical="center"/>
    </xf>
    <xf numFmtId="0" fontId="37" fillId="0" borderId="2" xfId="0" applyFont="1" applyFill="1" applyBorder="1"/>
    <xf numFmtId="0" fontId="14" fillId="0" borderId="2" xfId="0" applyFont="1" applyFill="1" applyBorder="1" applyAlignment="1">
      <alignment horizontal="center" vertical="center"/>
    </xf>
    <xf numFmtId="0" fontId="5"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37"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49" fontId="14" fillId="0" borderId="2" xfId="0" applyNumberFormat="1" applyFont="1" applyFill="1" applyBorder="1" applyAlignment="1" applyProtection="1">
      <alignment horizontal="left" vertical="center" wrapText="1"/>
    </xf>
    <xf numFmtId="165" fontId="37" fillId="0" borderId="2"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xf>
    <xf numFmtId="0" fontId="39" fillId="0" borderId="0" xfId="0" applyFont="1" applyFill="1"/>
    <xf numFmtId="0" fontId="37" fillId="0" borderId="0" xfId="0" applyFont="1" applyFill="1" applyBorder="1" applyAlignment="1">
      <alignment horizontal="left" vertical="center"/>
    </xf>
    <xf numFmtId="0" fontId="39" fillId="0" borderId="0" xfId="0" applyFont="1" applyFill="1" applyAlignment="1">
      <alignment vertical="center"/>
    </xf>
    <xf numFmtId="0" fontId="39" fillId="0" borderId="0" xfId="0" applyNumberFormat="1" applyFont="1" applyFill="1" applyAlignment="1">
      <alignment horizontal="center" vertical="center"/>
    </xf>
    <xf numFmtId="165" fontId="39" fillId="0" borderId="0" xfId="0" applyNumberFormat="1" applyFont="1" applyFill="1" applyAlignment="1">
      <alignment horizontal="center" vertical="center"/>
    </xf>
    <xf numFmtId="0" fontId="39" fillId="0" borderId="0" xfId="0" applyFont="1" applyFill="1" applyAlignment="1">
      <alignment horizontal="left" vertical="center" wrapText="1"/>
    </xf>
    <xf numFmtId="0" fontId="39" fillId="0" borderId="0" xfId="0" applyFont="1" applyFill="1" applyAlignment="1">
      <alignment horizontal="center" vertical="center"/>
    </xf>
    <xf numFmtId="0" fontId="39" fillId="0" borderId="0" xfId="0" applyFont="1" applyFill="1" applyAlignment="1">
      <alignment vertical="center" wrapText="1"/>
    </xf>
    <xf numFmtId="0" fontId="39" fillId="0" borderId="0" xfId="0" applyFont="1" applyFill="1" applyAlignment="1">
      <alignment horizontal="left" vertical="center"/>
    </xf>
    <xf numFmtId="0" fontId="40" fillId="0" borderId="0" xfId="0" applyFont="1" applyFill="1"/>
    <xf numFmtId="0" fontId="40" fillId="0" borderId="0" xfId="0" applyFont="1" applyFill="1" applyAlignment="1">
      <alignment horizontal="left" vertical="center"/>
    </xf>
    <xf numFmtId="0" fontId="40" fillId="0" borderId="0" xfId="0" applyFont="1" applyFill="1" applyAlignment="1">
      <alignment vertical="center"/>
    </xf>
    <xf numFmtId="0" fontId="40" fillId="0" borderId="0" xfId="0" applyNumberFormat="1" applyFont="1" applyFill="1" applyAlignment="1">
      <alignment horizontal="center" vertical="center"/>
    </xf>
    <xf numFmtId="165" fontId="40" fillId="0" borderId="0" xfId="0" applyNumberFormat="1" applyFont="1" applyFill="1" applyAlignment="1">
      <alignment horizontal="center" vertical="center"/>
    </xf>
    <xf numFmtId="0" fontId="40" fillId="0" borderId="0" xfId="0" applyFont="1" applyFill="1" applyAlignment="1">
      <alignment horizontal="left" vertical="center" wrapText="1"/>
    </xf>
    <xf numFmtId="0" fontId="40" fillId="0" borderId="0" xfId="0" applyFont="1" applyFill="1" applyAlignment="1">
      <alignment horizontal="center" vertical="center"/>
    </xf>
    <xf numFmtId="0" fontId="40" fillId="0" borderId="0" xfId="0" applyFont="1" applyFill="1" applyAlignment="1">
      <alignment vertical="center" wrapText="1"/>
    </xf>
    <xf numFmtId="0" fontId="0" fillId="0" borderId="0" xfId="0" applyFill="1" applyAlignment="1">
      <alignment horizontal="left" vertical="center"/>
    </xf>
    <xf numFmtId="0" fontId="0" fillId="0" borderId="0" xfId="0" applyFill="1" applyAlignment="1">
      <alignment vertical="center"/>
    </xf>
    <xf numFmtId="0" fontId="0" fillId="0" borderId="0" xfId="0" applyNumberFormat="1" applyFill="1" applyAlignment="1">
      <alignment horizontal="center" vertical="center"/>
    </xf>
    <xf numFmtId="165" fontId="0" fillId="0" borderId="0" xfId="0" applyNumberFormat="1"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vertical="center" wrapText="1"/>
    </xf>
    <xf numFmtId="49" fontId="6" fillId="0" borderId="2" xfId="0" applyNumberFormat="1" applyFont="1" applyFill="1" applyBorder="1" applyAlignment="1">
      <alignment horizontal="right"/>
    </xf>
    <xf numFmtId="165" fontId="6" fillId="0" borderId="2" xfId="0" applyNumberFormat="1" applyFont="1" applyFill="1" applyBorder="1" applyAlignment="1">
      <alignment horizontal="right"/>
    </xf>
    <xf numFmtId="0" fontId="6" fillId="0" borderId="2" xfId="0" applyFont="1" applyFill="1" applyBorder="1"/>
    <xf numFmtId="0" fontId="6" fillId="0" borderId="2" xfId="0" applyFont="1" applyFill="1" applyBorder="1" applyAlignment="1">
      <alignment horizontal="right" wrapText="1"/>
    </xf>
    <xf numFmtId="0" fontId="6" fillId="0" borderId="2" xfId="0" applyFont="1" applyFill="1" applyBorder="1" applyAlignment="1">
      <alignment horizontal="center" wrapText="1"/>
    </xf>
    <xf numFmtId="0" fontId="6" fillId="0" borderId="2" xfId="0" applyFont="1" applyFill="1" applyBorder="1" applyAlignment="1">
      <alignment horizontal="right"/>
    </xf>
    <xf numFmtId="49" fontId="1" fillId="0" borderId="2" xfId="0" applyNumberFormat="1" applyFont="1" applyFill="1" applyBorder="1" applyAlignment="1">
      <alignment horizontal="right"/>
    </xf>
    <xf numFmtId="165" fontId="1" fillId="0" borderId="2" xfId="0" applyNumberFormat="1" applyFont="1" applyFill="1" applyBorder="1"/>
    <xf numFmtId="49" fontId="1" fillId="0" borderId="2" xfId="0" applyNumberFormat="1" applyFont="1" applyFill="1" applyBorder="1" applyAlignment="1">
      <alignment horizontal="right" wrapText="1"/>
    </xf>
    <xf numFmtId="14" fontId="15" fillId="0" borderId="2" xfId="0" applyNumberFormat="1" applyFont="1" applyFill="1" applyBorder="1" applyAlignment="1">
      <alignment horizontal="center"/>
    </xf>
    <xf numFmtId="0" fontId="15" fillId="0" borderId="2" xfId="0" applyFont="1" applyFill="1" applyBorder="1" applyAlignment="1">
      <alignment horizontal="center" wrapText="1"/>
    </xf>
    <xf numFmtId="0" fontId="6" fillId="0" borderId="2" xfId="0" applyNumberFormat="1" applyFont="1" applyFill="1" applyBorder="1"/>
    <xf numFmtId="0" fontId="1" fillId="0" borderId="2" xfId="0" applyNumberFormat="1" applyFont="1" applyFill="1" applyBorder="1" applyAlignment="1">
      <alignment wrapText="1"/>
    </xf>
    <xf numFmtId="0" fontId="1" fillId="0" borderId="2" xfId="0" applyNumberFormat="1" applyFont="1" applyFill="1" applyBorder="1"/>
    <xf numFmtId="0" fontId="14" fillId="0" borderId="2" xfId="0" applyNumberFormat="1" applyFont="1" applyFill="1" applyBorder="1" applyAlignment="1">
      <alignment horizontal="left" vertical="center" wrapText="1"/>
    </xf>
    <xf numFmtId="2" fontId="6" fillId="0" borderId="2" xfId="0" applyNumberFormat="1" applyFont="1" applyFill="1" applyBorder="1"/>
    <xf numFmtId="0" fontId="6" fillId="0" borderId="2" xfId="0" applyNumberFormat="1" applyFont="1" applyFill="1" applyBorder="1" applyAlignment="1">
      <alignment wrapText="1"/>
    </xf>
    <xf numFmtId="165" fontId="6" fillId="0" borderId="2" xfId="0" applyNumberFormat="1" applyFont="1" applyFill="1" applyBorder="1"/>
    <xf numFmtId="2" fontId="1" fillId="0" borderId="2" xfId="0" applyNumberFormat="1" applyFont="1" applyFill="1" applyBorder="1"/>
    <xf numFmtId="0" fontId="1" fillId="0" borderId="11" xfId="0" applyFont="1" applyBorder="1" applyAlignment="1">
      <alignment vertical="center" wrapText="1"/>
    </xf>
    <xf numFmtId="0" fontId="1" fillId="0" borderId="2" xfId="0" applyFont="1" applyBorder="1" applyAlignment="1">
      <alignment horizontal="center" vertical="center"/>
    </xf>
    <xf numFmtId="49" fontId="6" fillId="0" borderId="2" xfId="0" applyNumberFormat="1" applyFont="1" applyBorder="1" applyAlignment="1">
      <alignment horizontal="center"/>
    </xf>
    <xf numFmtId="49" fontId="6" fillId="0" borderId="2" xfId="0" applyNumberFormat="1" applyFont="1" applyBorder="1" applyAlignment="1">
      <alignment horizontal="center" vertical="center"/>
    </xf>
    <xf numFmtId="166" fontId="0" fillId="0" borderId="2" xfId="0" applyNumberFormat="1" applyBorder="1"/>
    <xf numFmtId="0" fontId="1" fillId="0" borderId="2" xfId="0" applyFont="1" applyBorder="1" applyAlignment="1">
      <alignment horizontal="left" wrapText="1"/>
    </xf>
    <xf numFmtId="49" fontId="1" fillId="0" borderId="2" xfId="0" applyNumberFormat="1" applyFont="1" applyBorder="1" applyAlignment="1">
      <alignment horizontal="center" wrapText="1"/>
    </xf>
    <xf numFmtId="0" fontId="20" fillId="0" borderId="2" xfId="0" applyFont="1" applyFill="1" applyBorder="1" applyAlignment="1">
      <alignment horizontal="justify" vertical="center" wrapText="1"/>
    </xf>
    <xf numFmtId="166" fontId="16" fillId="2" borderId="2" xfId="0" applyNumberFormat="1" applyFont="1" applyFill="1" applyBorder="1" applyAlignment="1">
      <alignment horizontal="center" vertical="center"/>
    </xf>
    <xf numFmtId="49" fontId="14" fillId="0" borderId="2" xfId="0" applyNumberFormat="1" applyFont="1" applyBorder="1" applyAlignment="1" applyProtection="1">
      <alignment horizontal="left" vertical="center" wrapText="1"/>
    </xf>
    <xf numFmtId="166" fontId="15" fillId="2" borderId="2" xfId="0" applyNumberFormat="1" applyFont="1" applyFill="1" applyBorder="1" applyAlignment="1">
      <alignment horizontal="center" vertical="center"/>
    </xf>
    <xf numFmtId="49" fontId="1" fillId="0" borderId="2" xfId="0" applyNumberFormat="1" applyFont="1" applyBorder="1" applyAlignment="1">
      <alignment horizontal="center"/>
    </xf>
    <xf numFmtId="0" fontId="1" fillId="0" borderId="2" xfId="0" applyFont="1" applyBorder="1" applyAlignment="1">
      <alignment horizontal="justify" vertical="center" wrapText="1"/>
    </xf>
    <xf numFmtId="4" fontId="14" fillId="0" borderId="2" xfId="0" applyNumberFormat="1" applyFont="1" applyFill="1" applyBorder="1" applyAlignment="1">
      <alignment horizontal="left" vertical="center" wrapText="1"/>
    </xf>
    <xf numFmtId="0" fontId="14" fillId="0" borderId="2" xfId="0" applyFont="1" applyFill="1" applyBorder="1" applyAlignment="1">
      <alignment wrapText="1"/>
    </xf>
    <xf numFmtId="49" fontId="14" fillId="0" borderId="2" xfId="0" applyNumberFormat="1" applyFont="1" applyFill="1" applyBorder="1" applyAlignment="1">
      <alignment wrapText="1"/>
    </xf>
    <xf numFmtId="0" fontId="0" fillId="0" borderId="8" xfId="0" applyBorder="1" applyAlignment="1">
      <alignment vertical="center"/>
    </xf>
    <xf numFmtId="166" fontId="13" fillId="0" borderId="2" xfId="0" applyNumberFormat="1" applyFont="1" applyFill="1" applyBorder="1" applyAlignment="1" applyProtection="1">
      <alignment horizontal="center" vertical="center" wrapText="1"/>
    </xf>
    <xf numFmtId="166" fontId="16" fillId="0" borderId="2" xfId="0" applyNumberFormat="1" applyFont="1" applyFill="1" applyBorder="1" applyAlignment="1">
      <alignment horizontal="center" vertical="center"/>
    </xf>
    <xf numFmtId="166" fontId="15" fillId="0" borderId="2" xfId="0" applyNumberFormat="1" applyFont="1" applyFill="1" applyBorder="1" applyAlignment="1">
      <alignment horizontal="center" vertical="center"/>
    </xf>
    <xf numFmtId="49" fontId="20" fillId="0" borderId="2" xfId="0" applyNumberFormat="1" applyFont="1" applyBorder="1" applyAlignment="1" applyProtection="1">
      <alignment horizontal="left" vertical="center" wrapText="1"/>
    </xf>
    <xf numFmtId="0" fontId="0" fillId="0" borderId="0" xfId="0" applyAlignment="1">
      <alignment wrapText="1"/>
    </xf>
    <xf numFmtId="0" fontId="25" fillId="0" borderId="2" xfId="0" applyFont="1" applyFill="1" applyBorder="1" applyAlignment="1">
      <alignment horizontal="center" vertical="center" wrapText="1"/>
    </xf>
    <xf numFmtId="0" fontId="37" fillId="0" borderId="2" xfId="0" applyFont="1" applyFill="1" applyBorder="1" applyAlignment="1">
      <alignment horizontal="center" vertical="center"/>
    </xf>
    <xf numFmtId="0" fontId="37" fillId="0" borderId="2" xfId="0" applyNumberFormat="1" applyFont="1" applyFill="1" applyBorder="1" applyAlignment="1">
      <alignment horizontal="center" vertical="center"/>
    </xf>
    <xf numFmtId="165" fontId="37" fillId="0" borderId="2" xfId="0" applyNumberFormat="1" applyFont="1" applyFill="1" applyBorder="1" applyAlignment="1">
      <alignment horizontal="center" vertical="center"/>
    </xf>
    <xf numFmtId="0" fontId="37" fillId="0" borderId="2" xfId="0" applyFont="1" applyFill="1" applyBorder="1" applyAlignment="1">
      <alignment horizontal="left" vertical="center" wrapText="1"/>
    </xf>
    <xf numFmtId="49" fontId="38" fillId="0" borderId="2" xfId="0" applyNumberFormat="1" applyFont="1" applyFill="1" applyBorder="1" applyAlignment="1">
      <alignment horizontal="center" vertical="center"/>
    </xf>
    <xf numFmtId="49" fontId="38" fillId="0" borderId="2" xfId="0" applyNumberFormat="1" applyFont="1" applyFill="1" applyBorder="1" applyAlignment="1">
      <alignment horizontal="center" vertical="center" wrapText="1"/>
    </xf>
    <xf numFmtId="0" fontId="0" fillId="0" borderId="2" xfId="0"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0" xfId="0" applyAlignment="1">
      <alignment horizontal="right" wrapText="1"/>
    </xf>
    <xf numFmtId="0" fontId="21" fillId="0" borderId="0" xfId="0" applyFont="1" applyAlignment="1">
      <alignment horizontal="left"/>
    </xf>
    <xf numFmtId="0" fontId="5" fillId="0" borderId="0" xfId="0" applyFont="1" applyFill="1" applyAlignment="1">
      <alignment wrapText="1"/>
    </xf>
    <xf numFmtId="0" fontId="14" fillId="2" borderId="2" xfId="0" applyFont="1" applyFill="1" applyBorder="1" applyAlignment="1">
      <alignment horizontal="left" wrapText="1"/>
    </xf>
    <xf numFmtId="49" fontId="37" fillId="0" borderId="2" xfId="0" applyNumberFormat="1" applyFont="1" applyFill="1" applyBorder="1" applyAlignment="1">
      <alignment vertical="center"/>
    </xf>
    <xf numFmtId="2" fontId="15" fillId="0" borderId="0" xfId="0" applyNumberFormat="1" applyFont="1" applyAlignment="1">
      <alignment wrapText="1"/>
    </xf>
    <xf numFmtId="49" fontId="25" fillId="0" borderId="1" xfId="0" applyNumberFormat="1" applyFont="1" applyBorder="1" applyAlignment="1" applyProtection="1">
      <alignment horizontal="center" vertical="center" wrapText="1"/>
    </xf>
    <xf numFmtId="0" fontId="15" fillId="2" borderId="2" xfId="0" applyFont="1" applyFill="1" applyBorder="1" applyAlignment="1">
      <alignment horizontal="center"/>
    </xf>
    <xf numFmtId="0" fontId="13" fillId="0" borderId="0" xfId="0" applyFont="1"/>
    <xf numFmtId="0" fontId="13" fillId="2" borderId="2" xfId="0" applyFont="1" applyFill="1" applyBorder="1" applyAlignment="1">
      <alignment horizontal="center" vertical="center"/>
    </xf>
    <xf numFmtId="165" fontId="13" fillId="2" borderId="2" xfId="0" applyNumberFormat="1" applyFont="1" applyFill="1" applyBorder="1" applyAlignment="1" applyProtection="1">
      <alignment horizontal="center" wrapText="1"/>
    </xf>
    <xf numFmtId="0" fontId="15" fillId="2" borderId="6" xfId="0" applyFont="1" applyFill="1" applyBorder="1" applyAlignment="1">
      <alignment horizontal="left" vertical="center" wrapText="1"/>
    </xf>
    <xf numFmtId="0" fontId="13" fillId="0" borderId="0" xfId="0" applyFont="1"/>
    <xf numFmtId="49" fontId="13" fillId="2" borderId="2" xfId="0" applyNumberFormat="1" applyFont="1" applyFill="1" applyBorder="1" applyAlignment="1">
      <alignment horizontal="center" vertical="center" wrapText="1"/>
    </xf>
    <xf numFmtId="0" fontId="13" fillId="0" borderId="2" xfId="0" applyFont="1" applyBorder="1" applyAlignment="1">
      <alignment horizontal="center" vertical="center"/>
    </xf>
    <xf numFmtId="0" fontId="6" fillId="0" borderId="2" xfId="0" applyFont="1" applyFill="1" applyBorder="1" applyAlignment="1">
      <alignment horizontal="center" vertical="center"/>
    </xf>
    <xf numFmtId="0" fontId="0" fillId="0" borderId="2" xfId="0" applyFill="1" applyBorder="1" applyAlignment="1">
      <alignment vertical="center"/>
    </xf>
    <xf numFmtId="0" fontId="7"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6" fillId="0" borderId="2" xfId="0" applyFont="1" applyFill="1" applyBorder="1" applyAlignment="1">
      <alignment horizontal="center"/>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xf>
    <xf numFmtId="0" fontId="6" fillId="0" borderId="2" xfId="0" applyFont="1" applyFill="1" applyBorder="1" applyAlignment="1">
      <alignment vertical="top" wrapText="1"/>
    </xf>
    <xf numFmtId="0" fontId="6" fillId="0" borderId="2" xfId="0" applyFont="1" applyFill="1" applyBorder="1" applyAlignment="1">
      <alignment vertical="top"/>
    </xf>
    <xf numFmtId="0" fontId="6" fillId="0" borderId="2" xfId="0" applyFont="1" applyFill="1" applyBorder="1" applyAlignment="1">
      <alignment horizontal="center" vertical="center" wrapText="1"/>
    </xf>
    <xf numFmtId="166" fontId="6"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25" fillId="0" borderId="2" xfId="0" applyFont="1" applyFill="1" applyBorder="1" applyAlignment="1">
      <alignment horizontal="center" vertical="center" wrapText="1"/>
    </xf>
    <xf numFmtId="49" fontId="25" fillId="0" borderId="2" xfId="0" applyNumberFormat="1" applyFont="1" applyFill="1" applyBorder="1" applyAlignment="1">
      <alignment horizontal="center" vertical="center" wrapText="1"/>
    </xf>
    <xf numFmtId="166" fontId="8" fillId="0" borderId="2" xfId="0" applyNumberFormat="1" applyFont="1" applyFill="1" applyBorder="1" applyAlignment="1">
      <alignment horizontal="center" vertical="center"/>
    </xf>
    <xf numFmtId="0" fontId="25" fillId="0" borderId="2" xfId="0" applyFont="1" applyFill="1" applyBorder="1" applyAlignment="1">
      <alignment horizontal="left" vertical="center" wrapText="1"/>
    </xf>
    <xf numFmtId="49" fontId="25" fillId="0" borderId="2" xfId="0" applyNumberFormat="1" applyFont="1" applyFill="1" applyBorder="1" applyAlignment="1">
      <alignment horizontal="center" vertical="center"/>
    </xf>
    <xf numFmtId="165" fontId="25" fillId="0" borderId="2" xfId="0" applyNumberFormat="1" applyFont="1" applyFill="1" applyBorder="1" applyAlignment="1">
      <alignment horizontal="left" vertical="center" wrapText="1"/>
    </xf>
    <xf numFmtId="4" fontId="25" fillId="0" borderId="2" xfId="1" applyNumberFormat="1" applyFont="1" applyFill="1" applyBorder="1" applyAlignment="1">
      <alignment horizontal="left" vertical="center" wrapText="1"/>
    </xf>
    <xf numFmtId="0" fontId="25" fillId="0" borderId="2" xfId="0" applyFont="1" applyFill="1" applyBorder="1" applyAlignment="1">
      <alignment horizontal="center" vertical="center"/>
    </xf>
    <xf numFmtId="0" fontId="47"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2" xfId="0" applyFont="1" applyFill="1" applyBorder="1" applyAlignment="1">
      <alignment horizontal="center"/>
    </xf>
    <xf numFmtId="0" fontId="15" fillId="2" borderId="1" xfId="5" applyFont="1" applyFill="1" applyBorder="1" applyAlignment="1">
      <alignment horizontal="center" vertical="center"/>
    </xf>
    <xf numFmtId="2" fontId="15" fillId="0" borderId="1" xfId="5" applyNumberFormat="1" applyFont="1" applyFill="1" applyBorder="1" applyAlignment="1">
      <alignment horizontal="center" vertical="center" wrapText="1"/>
    </xf>
    <xf numFmtId="0" fontId="15" fillId="0" borderId="1" xfId="5"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Border="1" applyAlignment="1">
      <alignment vertical="center" wrapText="1"/>
    </xf>
    <xf numFmtId="49" fontId="6" fillId="0" borderId="2" xfId="0" applyNumberFormat="1" applyFont="1" applyBorder="1"/>
    <xf numFmtId="2" fontId="16" fillId="0" borderId="2" xfId="5" applyNumberFormat="1" applyFont="1" applyFill="1" applyBorder="1" applyAlignment="1">
      <alignment horizontal="center" vertical="center" wrapText="1"/>
    </xf>
    <xf numFmtId="49" fontId="6" fillId="0" borderId="2" xfId="0" applyNumberFormat="1" applyFont="1" applyFill="1" applyBorder="1"/>
    <xf numFmtId="0" fontId="3" fillId="0" borderId="0" xfId="0" applyFont="1" applyFill="1" applyBorder="1" applyAlignment="1">
      <alignment horizontal="center" vertical="center" wrapText="1"/>
    </xf>
    <xf numFmtId="0" fontId="6" fillId="0" borderId="2" xfId="0" applyFont="1" applyFill="1" applyBorder="1" applyAlignment="1"/>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1" fillId="0" borderId="6" xfId="0" applyFont="1" applyBorder="1" applyAlignment="1">
      <alignment horizontal="center" vertical="center" wrapText="1"/>
    </xf>
    <xf numFmtId="0" fontId="6" fillId="0" borderId="3" xfId="0" applyFont="1" applyBorder="1" applyAlignment="1">
      <alignment vertical="center" wrapText="1"/>
    </xf>
    <xf numFmtId="0" fontId="1" fillId="0" borderId="3" xfId="0" applyFont="1" applyBorder="1" applyAlignment="1">
      <alignment horizontal="center" vertical="center" wrapText="1"/>
    </xf>
    <xf numFmtId="0" fontId="15" fillId="2" borderId="3" xfId="5" applyFont="1" applyFill="1" applyBorder="1" applyAlignment="1">
      <alignment horizontal="center" vertical="center"/>
    </xf>
    <xf numFmtId="0" fontId="15" fillId="2" borderId="6" xfId="5" applyFont="1" applyFill="1" applyBorder="1" applyAlignment="1">
      <alignment horizontal="center" vertical="center"/>
    </xf>
    <xf numFmtId="0" fontId="6" fillId="0" borderId="6" xfId="0" applyFont="1" applyBorder="1" applyAlignment="1">
      <alignment horizontal="center" vertical="center" wrapText="1"/>
    </xf>
    <xf numFmtId="165" fontId="6" fillId="0" borderId="0" xfId="0" applyNumberFormat="1" applyFont="1" applyFill="1" applyBorder="1" applyAlignment="1">
      <alignment horizontal="center"/>
    </xf>
    <xf numFmtId="165" fontId="20" fillId="0" borderId="0" xfId="0" applyNumberFormat="1" applyFont="1" applyFill="1" applyBorder="1" applyAlignment="1">
      <alignment horizontal="center"/>
    </xf>
    <xf numFmtId="0" fontId="66" fillId="0" borderId="0" xfId="0" applyFont="1" applyBorder="1"/>
    <xf numFmtId="0" fontId="2" fillId="0" borderId="0" xfId="0" applyFont="1" applyBorder="1"/>
    <xf numFmtId="0" fontId="21" fillId="0" borderId="2" xfId="0" applyFont="1" applyFill="1" applyBorder="1" applyAlignment="1">
      <alignment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xf>
    <xf numFmtId="0" fontId="38" fillId="0" borderId="2" xfId="0" applyFont="1" applyFill="1" applyBorder="1" applyAlignment="1">
      <alignment horizontal="left" vertical="center" wrapText="1"/>
    </xf>
    <xf numFmtId="0" fontId="38" fillId="0" borderId="2" xfId="0" applyFont="1" applyFill="1" applyBorder="1" applyAlignment="1">
      <alignment horizontal="center" vertical="center"/>
    </xf>
    <xf numFmtId="0" fontId="37" fillId="0" borderId="2" xfId="0" applyFont="1" applyFill="1" applyBorder="1" applyAlignment="1">
      <alignment horizontal="left" vertical="center" wrapText="1"/>
    </xf>
    <xf numFmtId="49" fontId="38" fillId="0" borderId="2" xfId="0" applyNumberFormat="1" applyFont="1" applyFill="1" applyBorder="1" applyAlignment="1">
      <alignment horizontal="center" vertical="center"/>
    </xf>
    <xf numFmtId="49" fontId="38" fillId="0" borderId="2" xfId="0" applyNumberFormat="1" applyFont="1" applyFill="1" applyBorder="1" applyAlignment="1">
      <alignment horizontal="center" vertical="center" wrapText="1"/>
    </xf>
    <xf numFmtId="165" fontId="37" fillId="0" borderId="2" xfId="0" applyNumberFormat="1" applyFont="1" applyFill="1" applyBorder="1" applyAlignment="1">
      <alignment horizontal="center" vertical="center"/>
    </xf>
    <xf numFmtId="0" fontId="37" fillId="0" borderId="2" xfId="0" applyFont="1" applyFill="1" applyBorder="1" applyAlignment="1">
      <alignment horizontal="center" vertical="center"/>
    </xf>
    <xf numFmtId="49" fontId="37" fillId="0" borderId="2" xfId="0" applyNumberFormat="1" applyFont="1" applyFill="1" applyBorder="1" applyAlignment="1">
      <alignment horizontal="center" vertical="center"/>
    </xf>
    <xf numFmtId="0" fontId="37" fillId="0" borderId="2"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165" fontId="5" fillId="0" borderId="2" xfId="0" applyNumberFormat="1" applyFont="1" applyFill="1" applyBorder="1" applyAlignment="1">
      <alignment horizontal="center" vertical="center"/>
    </xf>
    <xf numFmtId="0" fontId="1" fillId="0" borderId="2" xfId="0" applyFont="1" applyFill="1" applyBorder="1" applyAlignment="1">
      <alignment horizontal="left" wrapText="1"/>
    </xf>
    <xf numFmtId="49" fontId="37" fillId="0" borderId="2" xfId="0" applyNumberFormat="1" applyFont="1" applyFill="1" applyBorder="1" applyAlignment="1">
      <alignment horizontal="center" vertical="center" wrapText="1"/>
    </xf>
    <xf numFmtId="49" fontId="38" fillId="0" borderId="2" xfId="0" applyNumberFormat="1" applyFont="1" applyFill="1" applyBorder="1" applyAlignment="1">
      <alignment horizontal="center" vertical="top" wrapText="1"/>
    </xf>
    <xf numFmtId="0" fontId="38" fillId="0" borderId="2" xfId="0" applyNumberFormat="1" applyFont="1" applyFill="1" applyBorder="1" applyAlignment="1">
      <alignment horizontal="center" vertical="center"/>
    </xf>
    <xf numFmtId="165" fontId="38" fillId="0" borderId="2" xfId="0" applyNumberFormat="1" applyFont="1" applyFill="1" applyBorder="1" applyAlignment="1">
      <alignment horizontal="center" vertical="center"/>
    </xf>
    <xf numFmtId="0" fontId="21" fillId="0" borderId="0" xfId="0" applyFont="1" applyFill="1"/>
    <xf numFmtId="49" fontId="14" fillId="2" borderId="2" xfId="0" applyNumberFormat="1" applyFont="1" applyFill="1" applyBorder="1" applyAlignment="1">
      <alignment horizontal="center" vertical="center" wrapText="1"/>
    </xf>
    <xf numFmtId="0" fontId="20"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6" xfId="0" applyFont="1" applyFill="1" applyBorder="1" applyAlignment="1">
      <alignment vertical="center" wrapText="1"/>
    </xf>
    <xf numFmtId="0" fontId="14" fillId="2" borderId="11" xfId="0" applyFont="1" applyFill="1" applyBorder="1" applyAlignment="1">
      <alignment horizontal="center" vertical="center"/>
    </xf>
    <xf numFmtId="0" fontId="14" fillId="2" borderId="7" xfId="0" applyFont="1" applyFill="1" applyBorder="1" applyAlignment="1">
      <alignment vertical="center" wrapText="1"/>
    </xf>
    <xf numFmtId="165" fontId="14" fillId="2" borderId="1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vertical="center" wrapText="1"/>
    </xf>
    <xf numFmtId="0" fontId="14" fillId="2" borderId="1" xfId="0" applyNumberFormat="1" applyFont="1" applyFill="1" applyBorder="1" applyAlignment="1">
      <alignment horizontal="center" vertical="center"/>
    </xf>
    <xf numFmtId="165" fontId="14" fillId="2" borderId="2" xfId="9" applyNumberFormat="1" applyFont="1" applyFill="1" applyBorder="1" applyAlignment="1">
      <alignment horizontal="center" vertical="center"/>
    </xf>
    <xf numFmtId="0" fontId="14" fillId="2" borderId="1" xfId="9"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2" fontId="14"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20" fillId="0" borderId="2" xfId="0" applyFont="1" applyFill="1" applyBorder="1" applyAlignment="1">
      <alignment vertical="center" wrapText="1"/>
    </xf>
    <xf numFmtId="165" fontId="20" fillId="0" borderId="2"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xf>
    <xf numFmtId="0" fontId="14" fillId="0" borderId="6" xfId="0" applyFont="1" applyFill="1" applyBorder="1" applyAlignment="1">
      <alignment vertical="center" wrapText="1"/>
    </xf>
    <xf numFmtId="0" fontId="20" fillId="0" borderId="0" xfId="0" applyFont="1" applyFill="1" applyBorder="1"/>
    <xf numFmtId="14" fontId="14" fillId="2" borderId="2" xfId="0" applyNumberFormat="1" applyFont="1" applyFill="1" applyBorder="1" applyAlignment="1">
      <alignment vertical="center"/>
    </xf>
    <xf numFmtId="165" fontId="14" fillId="2" borderId="2" xfId="0" applyNumberFormat="1" applyFont="1" applyFill="1" applyBorder="1" applyAlignment="1">
      <alignment horizontal="right" vertical="center" wrapText="1"/>
    </xf>
    <xf numFmtId="165" fontId="14" fillId="2" borderId="2" xfId="0" applyNumberFormat="1" applyFont="1" applyFill="1" applyBorder="1" applyAlignment="1">
      <alignment horizontal="center" vertical="center" wrapText="1"/>
    </xf>
    <xf numFmtId="165" fontId="14" fillId="2" borderId="2" xfId="0" applyNumberFormat="1" applyFont="1" applyFill="1" applyBorder="1" applyAlignment="1">
      <alignment horizontal="right" vertical="center"/>
    </xf>
    <xf numFmtId="0" fontId="14" fillId="2" borderId="2" xfId="0" applyNumberFormat="1" applyFont="1" applyFill="1" applyBorder="1" applyAlignment="1">
      <alignment vertical="center"/>
    </xf>
    <xf numFmtId="1" fontId="14" fillId="2" borderId="2" xfId="0" applyNumberFormat="1" applyFont="1" applyFill="1" applyBorder="1" applyAlignment="1">
      <alignment horizontal="center" vertical="center"/>
    </xf>
    <xf numFmtId="14" fontId="14" fillId="2" borderId="1" xfId="0" applyNumberFormat="1" applyFont="1" applyFill="1" applyBorder="1" applyAlignment="1">
      <alignment vertical="center"/>
    </xf>
    <xf numFmtId="49" fontId="20" fillId="2" borderId="2" xfId="0" applyNumberFormat="1" applyFont="1" applyFill="1" applyBorder="1" applyAlignment="1">
      <alignment vertical="center"/>
    </xf>
    <xf numFmtId="14" fontId="14" fillId="0" borderId="2" xfId="0" applyNumberFormat="1" applyFont="1" applyFill="1" applyBorder="1" applyAlignment="1">
      <alignment vertical="center"/>
    </xf>
    <xf numFmtId="14" fontId="20" fillId="0" borderId="2" xfId="0" applyNumberFormat="1" applyFont="1" applyFill="1" applyBorder="1" applyAlignment="1">
      <alignment vertical="center"/>
    </xf>
    <xf numFmtId="0" fontId="20" fillId="2" borderId="0" xfId="0" applyFont="1" applyFill="1"/>
    <xf numFmtId="0" fontId="14" fillId="0" borderId="11" xfId="0" applyFont="1" applyFill="1" applyBorder="1" applyAlignment="1">
      <alignment vertical="center"/>
    </xf>
    <xf numFmtId="0" fontId="1"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vertical="top" wrapText="1"/>
    </xf>
    <xf numFmtId="0" fontId="15" fillId="0" borderId="2" xfId="0" applyFont="1" applyFill="1" applyBorder="1" applyAlignment="1">
      <alignment horizontal="center"/>
    </xf>
    <xf numFmtId="0" fontId="4" fillId="0" borderId="0" xfId="0" applyFont="1" applyAlignment="1">
      <alignment horizontal="center" wrapText="1"/>
    </xf>
    <xf numFmtId="0" fontId="6" fillId="0" borderId="1" xfId="0" applyFont="1" applyBorder="1" applyAlignment="1">
      <alignment vertical="center"/>
    </xf>
    <xf numFmtId="0" fontId="6" fillId="0" borderId="8" xfId="0" applyFont="1" applyBorder="1" applyAlignment="1">
      <alignment vertical="center"/>
    </xf>
    <xf numFmtId="0" fontId="6" fillId="0" borderId="11" xfId="0" applyFont="1" applyBorder="1" applyAlignment="1">
      <alignment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2"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0" xfId="0" applyFont="1" applyFill="1" applyAlignment="1">
      <alignment horizontal="left" vertical="top" wrapText="1"/>
    </xf>
    <xf numFmtId="0" fontId="44" fillId="0" borderId="0" xfId="0" applyFont="1" applyFill="1" applyAlignment="1">
      <alignment horizontal="center"/>
    </xf>
    <xf numFmtId="0" fontId="47" fillId="0" borderId="2" xfId="0" applyFont="1" applyFill="1" applyBorder="1" applyAlignment="1">
      <alignment horizontal="center" vertical="center" wrapText="1"/>
    </xf>
    <xf numFmtId="0" fontId="47"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166" fontId="8" fillId="0" borderId="2"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xf>
    <xf numFmtId="2" fontId="25" fillId="0" borderId="11" xfId="0" applyNumberFormat="1"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25" fillId="0" borderId="2" xfId="0" applyFont="1" applyFill="1" applyBorder="1" applyAlignment="1">
      <alignment horizontal="center" vertical="center"/>
    </xf>
    <xf numFmtId="0" fontId="25" fillId="0" borderId="2" xfId="0" applyFont="1" applyFill="1" applyBorder="1" applyAlignment="1">
      <alignment horizontal="left" vertical="center" wrapText="1"/>
    </xf>
    <xf numFmtId="49" fontId="25" fillId="0" borderId="2" xfId="0" applyNumberFormat="1" applyFont="1" applyFill="1" applyBorder="1" applyAlignment="1">
      <alignment horizontal="center" vertical="center"/>
    </xf>
    <xf numFmtId="49" fontId="25"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2" xfId="0" applyFont="1" applyFill="1" applyBorder="1" applyAlignment="1">
      <alignment horizontal="justify" vertical="top" wrapText="1"/>
    </xf>
    <xf numFmtId="0" fontId="0" fillId="0" borderId="2" xfId="0" applyBorder="1" applyAlignment="1">
      <alignment vertical="top" wrapText="1"/>
    </xf>
    <xf numFmtId="49" fontId="25" fillId="0" borderId="1" xfId="0" applyNumberFormat="1" applyFont="1" applyFill="1" applyBorder="1" applyAlignment="1">
      <alignment horizontal="center" vertical="center"/>
    </xf>
    <xf numFmtId="49" fontId="25" fillId="0" borderId="11" xfId="0" applyNumberFormat="1" applyFont="1" applyFill="1" applyBorder="1" applyAlignment="1">
      <alignment horizontal="center" vertical="center"/>
    </xf>
    <xf numFmtId="4" fontId="25" fillId="0" borderId="1" xfId="1" applyNumberFormat="1" applyFont="1" applyFill="1" applyBorder="1" applyAlignment="1">
      <alignment horizontal="left" vertical="center" wrapText="1"/>
    </xf>
    <xf numFmtId="4" fontId="25" fillId="0" borderId="11" xfId="1" applyNumberFormat="1" applyFont="1" applyFill="1" applyBorder="1" applyAlignment="1">
      <alignment horizontal="left" vertical="center" wrapText="1"/>
    </xf>
    <xf numFmtId="49" fontId="25" fillId="0" borderId="8" xfId="0" applyNumberFormat="1" applyFont="1" applyFill="1" applyBorder="1" applyAlignment="1">
      <alignment horizontal="center" vertical="center"/>
    </xf>
    <xf numFmtId="4" fontId="25" fillId="0" borderId="8" xfId="1" applyNumberFormat="1" applyFont="1" applyFill="1" applyBorder="1" applyAlignment="1">
      <alignment horizontal="left" vertical="center" wrapText="1"/>
    </xf>
    <xf numFmtId="165" fontId="25" fillId="0" borderId="2" xfId="0" applyNumberFormat="1" applyFont="1" applyFill="1" applyBorder="1" applyAlignment="1">
      <alignment horizontal="left" vertical="center" wrapText="1"/>
    </xf>
    <xf numFmtId="0" fontId="0" fillId="0" borderId="2" xfId="0" applyBorder="1" applyAlignment="1">
      <alignment horizontal="center" vertical="center" wrapText="1"/>
    </xf>
    <xf numFmtId="0" fontId="25" fillId="0" borderId="8" xfId="0" applyFont="1" applyFill="1" applyBorder="1" applyAlignment="1">
      <alignment horizontal="left" vertical="center" wrapText="1"/>
    </xf>
    <xf numFmtId="0" fontId="25" fillId="0" borderId="8" xfId="0" applyFont="1" applyFill="1" applyBorder="1" applyAlignment="1">
      <alignment horizontal="center" vertical="center"/>
    </xf>
    <xf numFmtId="0" fontId="0" fillId="0" borderId="2" xfId="0" applyBorder="1" applyAlignment="1">
      <alignment wrapText="1"/>
    </xf>
    <xf numFmtId="0" fontId="37" fillId="0" borderId="2" xfId="0" applyFont="1" applyFill="1" applyBorder="1" applyAlignment="1">
      <alignment horizontal="center" vertical="center"/>
    </xf>
    <xf numFmtId="0" fontId="37" fillId="0" borderId="2" xfId="0" applyNumberFormat="1" applyFont="1" applyFill="1" applyBorder="1" applyAlignment="1">
      <alignment horizontal="center" vertical="center"/>
    </xf>
    <xf numFmtId="165" fontId="37" fillId="0" borderId="2" xfId="0" applyNumberFormat="1" applyFont="1" applyFill="1" applyBorder="1" applyAlignment="1">
      <alignment horizontal="center" vertical="center"/>
    </xf>
    <xf numFmtId="0" fontId="37" fillId="0" borderId="2" xfId="0" applyFont="1" applyFill="1" applyBorder="1" applyAlignment="1">
      <alignment horizontal="left" vertical="center" wrapText="1"/>
    </xf>
    <xf numFmtId="49" fontId="37" fillId="0" borderId="2" xfId="0" applyNumberFormat="1" applyFont="1" applyFill="1" applyBorder="1" applyAlignment="1">
      <alignment horizontal="center" vertical="center"/>
    </xf>
    <xf numFmtId="49" fontId="37" fillId="0" borderId="2" xfId="0" applyNumberFormat="1" applyFont="1" applyFill="1" applyBorder="1" applyAlignment="1">
      <alignment horizontal="center" vertical="center" wrapText="1"/>
    </xf>
    <xf numFmtId="0" fontId="0" fillId="0" borderId="2" xfId="0" applyFill="1" applyBorder="1" applyAlignment="1">
      <alignment vertical="center"/>
    </xf>
    <xf numFmtId="49" fontId="37" fillId="0" borderId="2" xfId="0" applyNumberFormat="1" applyFont="1" applyFill="1" applyBorder="1" applyAlignment="1">
      <alignment horizontal="center"/>
    </xf>
    <xf numFmtId="165" fontId="0" fillId="0" borderId="2" xfId="0" applyNumberFormat="1" applyFill="1" applyBorder="1" applyAlignment="1">
      <alignment horizontal="center"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xf>
    <xf numFmtId="0" fontId="5" fillId="0" borderId="0" xfId="0" applyFont="1" applyFill="1" applyAlignment="1">
      <alignment horizontal="right" vertical="center"/>
    </xf>
    <xf numFmtId="0" fontId="33" fillId="0" borderId="9" xfId="0" applyFont="1" applyFill="1" applyBorder="1" applyAlignment="1">
      <alignment horizontal="center" vertical="center" wrapText="1"/>
    </xf>
    <xf numFmtId="0" fontId="38" fillId="0" borderId="2" xfId="0" applyFont="1" applyFill="1" applyBorder="1" applyAlignment="1">
      <alignment horizontal="center" vertical="top"/>
    </xf>
    <xf numFmtId="0" fontId="38" fillId="0" borderId="2" xfId="0" applyFont="1" applyFill="1" applyBorder="1" applyAlignment="1">
      <alignment horizontal="left" vertical="center" wrapText="1"/>
    </xf>
    <xf numFmtId="0" fontId="38" fillId="0" borderId="2" xfId="0" applyFont="1" applyFill="1" applyBorder="1" applyAlignment="1">
      <alignment horizontal="center" vertical="center" wrapText="1" shrinkToFit="1"/>
    </xf>
    <xf numFmtId="0" fontId="38" fillId="0" borderId="2" xfId="0" applyFont="1" applyFill="1" applyBorder="1" applyAlignment="1">
      <alignment horizontal="center" vertical="center"/>
    </xf>
    <xf numFmtId="0" fontId="14" fillId="2" borderId="1" xfId="0" applyFont="1" applyFill="1" applyBorder="1" applyAlignment="1">
      <alignment vertical="center" wrapText="1"/>
    </xf>
    <xf numFmtId="0" fontId="14" fillId="2" borderId="11" xfId="0" applyFont="1" applyFill="1" applyBorder="1" applyAlignment="1">
      <alignment vertical="center" wrapText="1"/>
    </xf>
    <xf numFmtId="0" fontId="14" fillId="2" borderId="1" xfId="0" applyFont="1" applyFill="1" applyBorder="1" applyAlignment="1">
      <alignment horizontal="center" vertical="center"/>
    </xf>
    <xf numFmtId="0" fontId="2" fillId="0" borderId="11" xfId="0" applyFont="1" applyBorder="1" applyAlignment="1">
      <alignment vertical="center"/>
    </xf>
    <xf numFmtId="0" fontId="14" fillId="2" borderId="2" xfId="0" applyFont="1" applyFill="1" applyBorder="1" applyAlignment="1">
      <alignment horizontal="center" vertical="center" wrapText="1"/>
    </xf>
    <xf numFmtId="0" fontId="2" fillId="0" borderId="8" xfId="0" applyFont="1" applyBorder="1" applyAlignment="1">
      <alignment vertical="center" wrapText="1"/>
    </xf>
    <xf numFmtId="0" fontId="2" fillId="0" borderId="11" xfId="0" applyFont="1" applyBorder="1" applyAlignment="1">
      <alignment vertical="center" wrapText="1"/>
    </xf>
    <xf numFmtId="0" fontId="2" fillId="0" borderId="8" xfId="0" applyFont="1" applyBorder="1" applyAlignment="1">
      <alignment vertical="center"/>
    </xf>
    <xf numFmtId="0" fontId="14" fillId="2" borderId="0" xfId="0" applyFont="1" applyFill="1" applyAlignment="1">
      <alignment horizontal="right" vertical="center"/>
    </xf>
    <xf numFmtId="0" fontId="6" fillId="2" borderId="0" xfId="0" applyFont="1" applyFill="1" applyAlignment="1">
      <alignment horizontal="center" wrapText="1"/>
    </xf>
    <xf numFmtId="0" fontId="1" fillId="0" borderId="0" xfId="0" applyFont="1" applyAlignment="1">
      <alignment horizontal="center" wrapText="1"/>
    </xf>
    <xf numFmtId="0" fontId="20" fillId="2" borderId="2" xfId="0" applyFont="1" applyFill="1" applyBorder="1" applyAlignment="1">
      <alignment horizontal="center" vertical="center"/>
    </xf>
    <xf numFmtId="0" fontId="20" fillId="2" borderId="2" xfId="0" applyFont="1" applyFill="1" applyBorder="1" applyAlignment="1">
      <alignment horizontal="left" vertical="center" wrapText="1"/>
    </xf>
    <xf numFmtId="0" fontId="20" fillId="2" borderId="2" xfId="0" applyFont="1" applyFill="1" applyBorder="1" applyAlignment="1">
      <alignment horizontal="center" vertical="center" wrapText="1" shrinkToFit="1"/>
    </xf>
    <xf numFmtId="0" fontId="6" fillId="0" borderId="2" xfId="0" applyFont="1" applyFill="1" applyBorder="1" applyAlignment="1">
      <alignment horizontal="center" vertical="top"/>
    </xf>
    <xf numFmtId="0" fontId="6" fillId="0" borderId="2" xfId="0" applyFont="1" applyFill="1" applyBorder="1" applyAlignment="1">
      <alignment horizontal="left" vertical="top" wrapText="1"/>
    </xf>
    <xf numFmtId="0" fontId="6" fillId="0" borderId="2" xfId="0" applyFont="1" applyFill="1" applyBorder="1" applyAlignment="1">
      <alignment horizontal="center" wrapText="1" shrinkToFit="1"/>
    </xf>
    <xf numFmtId="0" fontId="6" fillId="0" borderId="2" xfId="0" applyFont="1" applyFill="1" applyBorder="1" applyAlignment="1">
      <alignment horizontal="left" vertical="center" wrapText="1"/>
    </xf>
    <xf numFmtId="0" fontId="6" fillId="0" borderId="2" xfId="0" applyFont="1" applyFill="1" applyBorder="1" applyAlignment="1">
      <alignment horizont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 xfId="0" applyFont="1" applyFill="1" applyBorder="1" applyAlignment="1">
      <alignment vertical="center" wrapText="1"/>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1" xfId="0" applyFill="1" applyBorder="1" applyAlignment="1">
      <alignment horizontal="center" vertical="center"/>
    </xf>
    <xf numFmtId="0" fontId="7" fillId="0" borderId="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7"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 fillId="0" borderId="1" xfId="0" applyFont="1" applyFill="1" applyBorder="1" applyAlignment="1">
      <alignment horizontal="right"/>
    </xf>
    <xf numFmtId="0" fontId="1" fillId="0" borderId="11" xfId="0" applyFont="1" applyFill="1" applyBorder="1" applyAlignment="1">
      <alignment horizontal="right"/>
    </xf>
    <xf numFmtId="165" fontId="1" fillId="0" borderId="1" xfId="0" applyNumberFormat="1" applyFont="1" applyFill="1" applyBorder="1" applyAlignment="1">
      <alignment horizontal="right"/>
    </xf>
    <xf numFmtId="165" fontId="1" fillId="0" borderId="11" xfId="0" applyNumberFormat="1" applyFont="1" applyFill="1" applyBorder="1" applyAlignment="1">
      <alignment horizontal="right"/>
    </xf>
    <xf numFmtId="0" fontId="15" fillId="0" borderId="1" xfId="0" applyFont="1" applyFill="1" applyBorder="1" applyAlignment="1">
      <alignment horizontal="center" wrapText="1"/>
    </xf>
    <xf numFmtId="0" fontId="15" fillId="0" borderId="11" xfId="0" applyFont="1" applyFill="1" applyBorder="1" applyAlignment="1">
      <alignment horizontal="center" wrapText="1"/>
    </xf>
    <xf numFmtId="49" fontId="1" fillId="0" borderId="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1" fillId="0" borderId="1" xfId="0" applyNumberFormat="1" applyFont="1" applyFill="1" applyBorder="1" applyAlignment="1">
      <alignment horizontal="center"/>
    </xf>
    <xf numFmtId="49" fontId="1" fillId="0" borderId="11" xfId="0" applyNumberFormat="1" applyFont="1" applyFill="1" applyBorder="1" applyAlignment="1">
      <alignment horizontal="center"/>
    </xf>
    <xf numFmtId="0" fontId="14" fillId="0" borderId="1" xfId="0" applyFont="1" applyFill="1" applyBorder="1" applyAlignment="1">
      <alignment horizontal="right"/>
    </xf>
    <xf numFmtId="0" fontId="14" fillId="0" borderId="11" xfId="0" applyFont="1" applyFill="1" applyBorder="1" applyAlignment="1">
      <alignment horizontal="right"/>
    </xf>
    <xf numFmtId="0" fontId="13" fillId="0" borderId="1" xfId="0" applyFont="1" applyFill="1" applyBorder="1" applyAlignment="1">
      <alignment horizontal="center"/>
    </xf>
    <xf numFmtId="0" fontId="13" fillId="0" borderId="11" xfId="0" applyFont="1" applyFill="1" applyBorder="1" applyAlignment="1">
      <alignment horizontal="center"/>
    </xf>
    <xf numFmtId="0" fontId="6" fillId="2" borderId="0" xfId="0" applyFont="1" applyFill="1" applyAlignment="1">
      <alignment horizont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31" fillId="0" borderId="1"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 xfId="0" applyFont="1" applyBorder="1" applyAlignment="1">
      <alignment horizontal="center" wrapText="1" shrinkToFit="1"/>
    </xf>
    <xf numFmtId="0" fontId="31" fillId="0" borderId="2" xfId="0" applyFont="1" applyBorder="1" applyAlignment="1">
      <alignment horizontal="center" vertical="center"/>
    </xf>
    <xf numFmtId="0" fontId="31" fillId="0" borderId="2" xfId="0" applyFont="1" applyFill="1" applyBorder="1" applyAlignment="1">
      <alignment horizontal="center" vertical="center" wrapText="1"/>
    </xf>
    <xf numFmtId="165" fontId="13" fillId="0" borderId="1" xfId="0" applyNumberFormat="1" applyFont="1" applyFill="1" applyBorder="1" applyAlignment="1">
      <alignment horizontal="center" vertical="center"/>
    </xf>
    <xf numFmtId="165" fontId="13" fillId="0" borderId="11" xfId="0" applyNumberFormat="1" applyFont="1" applyFill="1" applyBorder="1" applyAlignment="1">
      <alignment horizontal="center" vertical="center"/>
    </xf>
    <xf numFmtId="49" fontId="13" fillId="0" borderId="1" xfId="0" applyNumberFormat="1" applyFont="1" applyBorder="1" applyAlignment="1" applyProtection="1">
      <alignment horizontal="center" vertical="center" wrapText="1"/>
    </xf>
    <xf numFmtId="49" fontId="13" fillId="0" borderId="11" xfId="0" applyNumberFormat="1" applyFont="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49" fontId="13" fillId="0" borderId="11" xfId="0" applyNumberFormat="1" applyFont="1" applyFill="1" applyBorder="1" applyAlignment="1" applyProtection="1">
      <alignment horizontal="center" vertical="center" wrapText="1"/>
    </xf>
    <xf numFmtId="0" fontId="13" fillId="0" borderId="0" xfId="0" applyFont="1" applyAlignment="1">
      <alignment horizontal="center"/>
    </xf>
    <xf numFmtId="0" fontId="16" fillId="2" borderId="0" xfId="0" applyFont="1" applyFill="1" applyBorder="1" applyAlignment="1">
      <alignment horizontal="center" vertical="center" wrapText="1"/>
    </xf>
    <xf numFmtId="0" fontId="13" fillId="0" borderId="0" xfId="0" applyFont="1"/>
    <xf numFmtId="0" fontId="16" fillId="0" borderId="0" xfId="0" applyFont="1" applyAlignment="1">
      <alignment horizontal="center" vertical="center"/>
    </xf>
    <xf numFmtId="0" fontId="13" fillId="0" borderId="0" xfId="0" applyFont="1" applyBorder="1" applyAlignment="1" applyProtection="1">
      <alignment horizontal="left" vertical="top" wrapText="1"/>
    </xf>
    <xf numFmtId="49" fontId="19" fillId="0" borderId="2" xfId="0" applyNumberFormat="1" applyFont="1" applyBorder="1" applyAlignment="1" applyProtection="1">
      <alignment horizontal="center" vertical="center" wrapText="1"/>
    </xf>
    <xf numFmtId="0" fontId="19" fillId="0" borderId="2" xfId="0" applyFont="1" applyBorder="1" applyAlignment="1">
      <alignment wrapText="1"/>
    </xf>
    <xf numFmtId="0" fontId="16" fillId="2" borderId="2" xfId="0" applyFont="1" applyFill="1" applyBorder="1" applyAlignment="1">
      <alignment horizontal="center" vertical="top" wrapText="1"/>
    </xf>
    <xf numFmtId="0" fontId="19" fillId="0" borderId="2" xfId="0" applyFont="1" applyBorder="1" applyAlignment="1">
      <alignment horizontal="center" vertical="top" wrapText="1"/>
    </xf>
    <xf numFmtId="49" fontId="19" fillId="0" borderId="6" xfId="0" applyNumberFormat="1" applyFont="1" applyBorder="1" applyAlignment="1" applyProtection="1">
      <alignment horizontal="center" vertical="center" wrapText="1"/>
    </xf>
    <xf numFmtId="49" fontId="19" fillId="0" borderId="12" xfId="0" applyNumberFormat="1" applyFont="1" applyBorder="1" applyAlignment="1" applyProtection="1">
      <alignment horizontal="center" vertical="center" wrapText="1"/>
    </xf>
    <xf numFmtId="49" fontId="19" fillId="0" borderId="7" xfId="0" applyNumberFormat="1" applyFont="1" applyBorder="1" applyAlignment="1" applyProtection="1">
      <alignment horizontal="center" vertical="center" wrapText="1"/>
    </xf>
    <xf numFmtId="49" fontId="19" fillId="0" borderId="1" xfId="0" applyNumberFormat="1" applyFont="1" applyBorder="1" applyAlignment="1" applyProtection="1">
      <alignment horizontal="center" vertical="center" wrapText="1"/>
    </xf>
    <xf numFmtId="0" fontId="13" fillId="0" borderId="11" xfId="0" applyFont="1" applyBorder="1" applyAlignment="1">
      <alignment wrapText="1"/>
    </xf>
    <xf numFmtId="0" fontId="19" fillId="2" borderId="2" xfId="1" applyFont="1" applyFill="1" applyBorder="1" applyAlignment="1">
      <alignment horizontal="center" vertical="center" wrapText="1"/>
    </xf>
    <xf numFmtId="0" fontId="19" fillId="2" borderId="1"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20" fillId="0" borderId="0" xfId="0" applyFont="1" applyBorder="1" applyAlignment="1">
      <alignment horizontal="center"/>
    </xf>
    <xf numFmtId="0" fontId="13" fillId="2" borderId="2" xfId="0" applyFont="1" applyFill="1" applyBorder="1" applyAlignment="1">
      <alignment horizontal="center" vertical="center"/>
    </xf>
    <xf numFmtId="0" fontId="54" fillId="2" borderId="1" xfId="0" applyFont="1" applyFill="1" applyBorder="1" applyAlignment="1">
      <alignment horizontal="center" vertical="center" wrapText="1"/>
    </xf>
    <xf numFmtId="0" fontId="54" fillId="2" borderId="11"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7" xfId="0" applyFont="1" applyFill="1" applyBorder="1" applyAlignment="1">
      <alignment horizontal="center" vertical="center"/>
    </xf>
    <xf numFmtId="0" fontId="42" fillId="2" borderId="1"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0" borderId="0" xfId="0" applyFont="1" applyAlignment="1">
      <alignment horizontal="right" wrapText="1"/>
    </xf>
    <xf numFmtId="0" fontId="22" fillId="2" borderId="9" xfId="0" applyFont="1" applyFill="1" applyBorder="1" applyAlignment="1">
      <alignment horizontal="center" vertical="center" wrapText="1"/>
    </xf>
    <xf numFmtId="0" fontId="15"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60" fillId="0" borderId="2" xfId="0" applyFont="1" applyBorder="1" applyAlignment="1">
      <alignment horizontal="center" vertical="center" wrapText="1"/>
    </xf>
    <xf numFmtId="0" fontId="47" fillId="0" borderId="2" xfId="0" applyFont="1" applyBorder="1" applyAlignment="1">
      <alignment horizontal="center" vertical="center"/>
    </xf>
    <xf numFmtId="16" fontId="15" fillId="0" borderId="1" xfId="0" applyNumberFormat="1"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xf>
    <xf numFmtId="0" fontId="15" fillId="0" borderId="1" xfId="0" applyFont="1" applyBorder="1" applyAlignment="1">
      <alignment horizontal="left" vertical="top" wrapText="1"/>
    </xf>
    <xf numFmtId="0" fontId="15" fillId="0" borderId="8" xfId="0" applyFont="1" applyBorder="1" applyAlignment="1">
      <alignment horizontal="left" vertical="top" wrapText="1"/>
    </xf>
    <xf numFmtId="0" fontId="15" fillId="0" borderId="11" xfId="0" applyFont="1" applyBorder="1" applyAlignment="1">
      <alignment horizontal="left" vertical="top" wrapText="1"/>
    </xf>
    <xf numFmtId="0" fontId="15" fillId="0" borderId="1" xfId="0" applyFont="1" applyBorder="1" applyAlignment="1">
      <alignment horizontal="center" vertical="center"/>
    </xf>
    <xf numFmtId="0" fontId="1" fillId="0" borderId="5" xfId="0" applyFont="1" applyBorder="1" applyAlignment="1">
      <alignment horizontal="justify" vertical="center" wrapText="1"/>
    </xf>
    <xf numFmtId="0" fontId="1" fillId="0" borderId="19" xfId="0" applyFont="1" applyBorder="1" applyAlignment="1">
      <alignment horizontal="justify" vertical="center" wrapText="1"/>
    </xf>
    <xf numFmtId="0" fontId="15" fillId="0" borderId="2" xfId="0" applyFont="1" applyBorder="1" applyAlignment="1">
      <alignment horizontal="center"/>
    </xf>
    <xf numFmtId="0" fontId="0" fillId="0" borderId="8" xfId="0" applyBorder="1" applyAlignment="1">
      <alignment vertical="center"/>
    </xf>
    <xf numFmtId="0" fontId="0" fillId="0" borderId="11" xfId="0" applyBorder="1" applyAlignment="1">
      <alignment vertical="center"/>
    </xf>
    <xf numFmtId="0" fontId="15" fillId="0" borderId="2" xfId="0" applyFont="1" applyBorder="1" applyAlignment="1">
      <alignment horizontal="left" vertical="top" wrapText="1"/>
    </xf>
    <xf numFmtId="0" fontId="0" fillId="0" borderId="8" xfId="0"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0" fillId="0" borderId="2" xfId="0" applyBorder="1" applyAlignment="1">
      <alignment horizontal="center"/>
    </xf>
    <xf numFmtId="0" fontId="6" fillId="0" borderId="2" xfId="0" applyFont="1" applyBorder="1" applyAlignment="1">
      <alignment horizontal="center" vertical="top"/>
    </xf>
    <xf numFmtId="0" fontId="6" fillId="0" borderId="2" xfId="0" applyFont="1" applyBorder="1" applyAlignment="1">
      <alignment horizontal="left" vertical="top" wrapTex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wrapText="1"/>
    </xf>
    <xf numFmtId="0" fontId="1" fillId="0" borderId="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2" fontId="15" fillId="0" borderId="1" xfId="5" applyNumberFormat="1" applyFont="1" applyFill="1" applyBorder="1" applyAlignment="1">
      <alignment horizontal="center" vertical="center" wrapText="1"/>
    </xf>
    <xf numFmtId="2" fontId="15" fillId="0" borderId="8" xfId="5" applyNumberFormat="1" applyFont="1" applyFill="1" applyBorder="1" applyAlignment="1">
      <alignment horizontal="center" vertical="center" wrapText="1"/>
    </xf>
    <xf numFmtId="2" fontId="15" fillId="0" borderId="11" xfId="5" applyNumberFormat="1" applyFont="1" applyFill="1" applyBorder="1" applyAlignment="1">
      <alignment horizontal="center" vertical="center" wrapText="1"/>
    </xf>
    <xf numFmtId="0" fontId="15" fillId="0" borderId="1" xfId="5" applyFont="1" applyFill="1" applyBorder="1" applyAlignment="1">
      <alignment horizontal="center" vertical="center" wrapText="1"/>
    </xf>
    <xf numFmtId="0" fontId="15" fillId="0" borderId="8" xfId="5" applyFont="1" applyFill="1" applyBorder="1" applyAlignment="1">
      <alignment horizontal="center" vertical="center" wrapText="1"/>
    </xf>
    <xf numFmtId="0" fontId="15" fillId="0" borderId="11" xfId="5" applyFont="1" applyFill="1" applyBorder="1" applyAlignment="1">
      <alignment horizontal="center" vertical="center" wrapText="1"/>
    </xf>
    <xf numFmtId="0" fontId="15" fillId="2" borderId="1" xfId="5" applyFont="1" applyFill="1" applyBorder="1" applyAlignment="1">
      <alignment horizontal="center" vertical="center"/>
    </xf>
    <xf numFmtId="0" fontId="15" fillId="2" borderId="8" xfId="5" applyFont="1" applyFill="1" applyBorder="1" applyAlignment="1">
      <alignment horizontal="center" vertical="center"/>
    </xf>
    <xf numFmtId="0" fontId="15" fillId="2" borderId="11" xfId="5" applyFont="1" applyFill="1" applyBorder="1" applyAlignment="1">
      <alignment horizontal="center" vertical="center"/>
    </xf>
    <xf numFmtId="0" fontId="15" fillId="2" borderId="3" xfId="5" applyFont="1" applyFill="1" applyBorder="1" applyAlignment="1">
      <alignment horizontal="center" vertical="center"/>
    </xf>
    <xf numFmtId="0" fontId="15" fillId="2" borderId="20" xfId="5" applyFont="1" applyFill="1" applyBorder="1" applyAlignment="1">
      <alignment horizontal="center" vertical="center"/>
    </xf>
    <xf numFmtId="0" fontId="15" fillId="2" borderId="16" xfId="5" applyFont="1" applyFill="1" applyBorder="1" applyAlignment="1">
      <alignment horizontal="center" vertical="center"/>
    </xf>
    <xf numFmtId="49" fontId="1" fillId="0" borderId="1" xfId="0" applyNumberFormat="1" applyFont="1" applyBorder="1" applyAlignment="1"/>
    <xf numFmtId="49" fontId="1" fillId="0" borderId="8" xfId="0" applyNumberFormat="1" applyFont="1" applyBorder="1" applyAlignment="1"/>
    <xf numFmtId="49" fontId="1" fillId="0" borderId="11" xfId="0" applyNumberFormat="1" applyFont="1" applyBorder="1" applyAlignment="1"/>
    <xf numFmtId="0" fontId="25" fillId="0" borderId="1" xfId="0" applyFont="1" applyFill="1" applyBorder="1" applyAlignment="1">
      <alignment vertical="center" wrapText="1"/>
    </xf>
    <xf numFmtId="0" fontId="25" fillId="0" borderId="8" xfId="0" applyFont="1" applyFill="1" applyBorder="1" applyAlignment="1">
      <alignment vertical="center" wrapText="1"/>
    </xf>
    <xf numFmtId="0" fontId="25" fillId="0" borderId="11" xfId="0" applyFont="1" applyFill="1" applyBorder="1" applyAlignment="1">
      <alignment vertical="center" wrapText="1"/>
    </xf>
    <xf numFmtId="49" fontId="13" fillId="0" borderId="1" xfId="0" applyNumberFormat="1" applyFont="1" applyFill="1" applyBorder="1" applyAlignment="1" applyProtection="1">
      <alignment horizontal="center" wrapText="1"/>
    </xf>
    <xf numFmtId="49" fontId="13" fillId="0" borderId="8" xfId="0" applyNumberFormat="1" applyFont="1" applyFill="1" applyBorder="1" applyAlignment="1" applyProtection="1">
      <alignment horizontal="center" wrapText="1"/>
    </xf>
    <xf numFmtId="49" fontId="13" fillId="0" borderId="11" xfId="0" applyNumberFormat="1" applyFont="1" applyFill="1" applyBorder="1" applyAlignment="1" applyProtection="1">
      <alignment horizontal="center" wrapText="1"/>
    </xf>
    <xf numFmtId="165" fontId="1" fillId="0" borderId="1" xfId="0" applyNumberFormat="1" applyFont="1" applyFill="1" applyBorder="1" applyAlignment="1">
      <alignment horizontal="center"/>
    </xf>
    <xf numFmtId="165" fontId="1" fillId="0" borderId="8" xfId="0" applyNumberFormat="1" applyFont="1" applyFill="1" applyBorder="1" applyAlignment="1">
      <alignment horizontal="center"/>
    </xf>
    <xf numFmtId="165" fontId="1" fillId="0" borderId="11" xfId="0" applyNumberFormat="1" applyFont="1" applyFill="1" applyBorder="1" applyAlignment="1">
      <alignment horizontal="center"/>
    </xf>
    <xf numFmtId="0" fontId="2" fillId="0" borderId="0" xfId="0" applyFont="1" applyAlignment="1">
      <alignment vertical="top" wrapText="1"/>
    </xf>
    <xf numFmtId="0" fontId="0" fillId="0" borderId="0" xfId="0" applyAlignment="1">
      <alignment vertical="top" wrapText="1"/>
    </xf>
    <xf numFmtId="0" fontId="1" fillId="0" borderId="2" xfId="0" applyFont="1" applyBorder="1" applyAlignment="1">
      <alignment vertical="top" wrapText="1"/>
    </xf>
    <xf numFmtId="0" fontId="1" fillId="0" borderId="1" xfId="0" applyFont="1" applyBorder="1" applyAlignment="1"/>
    <xf numFmtId="0" fontId="1" fillId="0" borderId="11" xfId="0" applyFont="1" applyBorder="1" applyAlignment="1"/>
    <xf numFmtId="0" fontId="1" fillId="2" borderId="1" xfId="0" applyFont="1" applyFill="1" applyBorder="1" applyAlignment="1"/>
    <xf numFmtId="0" fontId="1" fillId="2" borderId="11" xfId="0" applyFont="1" applyFill="1" applyBorder="1" applyAlignment="1"/>
    <xf numFmtId="0" fontId="1" fillId="0" borderId="1" xfId="0" applyFont="1" applyBorder="1" applyAlignment="1">
      <alignment vertical="top" wrapText="1"/>
    </xf>
    <xf numFmtId="0" fontId="1" fillId="0" borderId="11" xfId="0" applyFont="1" applyBorder="1" applyAlignment="1">
      <alignment vertical="top" wrapText="1"/>
    </xf>
    <xf numFmtId="0" fontId="1" fillId="0" borderId="8" xfId="0" applyFont="1" applyBorder="1" applyAlignment="1">
      <alignment vertical="top" wrapText="1"/>
    </xf>
    <xf numFmtId="0" fontId="1" fillId="0" borderId="8" xfId="0" applyFont="1" applyBorder="1" applyAlignment="1"/>
    <xf numFmtId="0" fontId="1" fillId="0" borderId="8" xfId="0" applyFont="1" applyBorder="1" applyAlignment="1">
      <alignment vertical="top"/>
    </xf>
    <xf numFmtId="0" fontId="1" fillId="0" borderId="11" xfId="0" applyFont="1" applyBorder="1" applyAlignment="1">
      <alignment vertical="top"/>
    </xf>
    <xf numFmtId="0" fontId="1" fillId="0" borderId="1" xfId="0" applyFont="1" applyBorder="1" applyAlignment="1">
      <alignment wrapText="1"/>
    </xf>
    <xf numFmtId="0" fontId="0" fillId="0" borderId="11" xfId="0" applyBorder="1" applyAlignment="1">
      <alignment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1" fillId="0" borderId="1" xfId="0" applyFont="1" applyBorder="1" applyAlignment="1">
      <alignment horizontal="center"/>
    </xf>
    <xf numFmtId="0" fontId="1" fillId="0" borderId="8" xfId="0" applyFont="1" applyBorder="1" applyAlignment="1">
      <alignment horizontal="center"/>
    </xf>
    <xf numFmtId="0" fontId="1" fillId="0" borderId="11" xfId="0" applyFont="1" applyBorder="1" applyAlignment="1">
      <alignment horizontal="center"/>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11" xfId="0" applyFont="1" applyBorder="1" applyAlignment="1">
      <alignment vertical="center" wrapText="1"/>
    </xf>
    <xf numFmtId="0" fontId="1" fillId="0" borderId="1" xfId="0" applyFont="1" applyBorder="1" applyAlignment="1">
      <alignment horizontal="left"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49" fontId="1" fillId="0" borderId="1" xfId="0" applyNumberFormat="1" applyFont="1" applyBorder="1" applyAlignment="1">
      <alignment horizontal="center" vertical="top"/>
    </xf>
    <xf numFmtId="49" fontId="1" fillId="0" borderId="11" xfId="0" applyNumberFormat="1" applyFont="1" applyBorder="1" applyAlignment="1">
      <alignment horizontal="center" vertical="top"/>
    </xf>
    <xf numFmtId="0" fontId="0" fillId="0" borderId="11" xfId="0" applyBorder="1" applyAlignment="1">
      <alignment vertical="top" wrapText="1"/>
    </xf>
    <xf numFmtId="49" fontId="14" fillId="2" borderId="1" xfId="0" applyNumberFormat="1" applyFont="1" applyFill="1" applyBorder="1" applyAlignment="1" applyProtection="1">
      <alignment horizontal="center" wrapText="1"/>
    </xf>
    <xf numFmtId="49" fontId="14" fillId="2" borderId="11" xfId="0" applyNumberFormat="1" applyFont="1" applyFill="1" applyBorder="1" applyAlignment="1" applyProtection="1">
      <alignment horizontal="center" wrapText="1"/>
    </xf>
    <xf numFmtId="165" fontId="1" fillId="0" borderId="1" xfId="0" applyNumberFormat="1" applyFont="1" applyBorder="1" applyAlignment="1"/>
    <xf numFmtId="165" fontId="1" fillId="0" borderId="11" xfId="0" applyNumberFormat="1" applyFont="1" applyBorder="1" applyAlignment="1"/>
    <xf numFmtId="0" fontId="6" fillId="0" borderId="2" xfId="0" applyFont="1" applyBorder="1" applyAlignment="1">
      <alignment vertical="top"/>
    </xf>
    <xf numFmtId="0" fontId="6" fillId="0" borderId="2" xfId="0" applyFont="1" applyBorder="1" applyAlignment="1">
      <alignment vertical="top" wrapText="1"/>
    </xf>
    <xf numFmtId="0" fontId="6" fillId="0" borderId="2" xfId="0" applyFont="1" applyBorder="1" applyAlignment="1">
      <alignment vertical="top" wrapText="1" shrinkToFit="1"/>
    </xf>
    <xf numFmtId="0" fontId="0" fillId="0" borderId="0" xfId="0" applyFont="1" applyAlignment="1">
      <alignment horizontal="center" vertical="center" wrapText="1"/>
    </xf>
    <xf numFmtId="0" fontId="6" fillId="0" borderId="2" xfId="0" applyFont="1" applyFill="1" applyBorder="1" applyAlignment="1">
      <alignment vertical="top" wrapText="1"/>
    </xf>
    <xf numFmtId="0" fontId="6" fillId="0" borderId="2" xfId="0" applyFont="1" applyFill="1" applyBorder="1" applyAlignment="1">
      <alignment vertical="top"/>
    </xf>
    <xf numFmtId="49" fontId="25" fillId="0" borderId="1" xfId="0" applyNumberFormat="1" applyFont="1" applyFill="1" applyBorder="1" applyAlignment="1" applyProtection="1">
      <alignment horizontal="center" vertical="center" wrapText="1"/>
    </xf>
    <xf numFmtId="49" fontId="25" fillId="0" borderId="8" xfId="0" applyNumberFormat="1" applyFont="1" applyFill="1" applyBorder="1" applyAlignment="1" applyProtection="1">
      <alignment horizontal="center" vertical="center" wrapText="1"/>
    </xf>
    <xf numFmtId="49" fontId="25" fillId="0" borderId="11" xfId="0" applyNumberFormat="1" applyFont="1" applyFill="1" applyBorder="1" applyAlignment="1" applyProtection="1">
      <alignment horizontal="center" vertical="center" wrapText="1"/>
    </xf>
    <xf numFmtId="49" fontId="20" fillId="0" borderId="1" xfId="0" applyNumberFormat="1" applyFont="1" applyFill="1" applyBorder="1" applyAlignment="1" applyProtection="1">
      <alignment horizontal="center" vertical="center" wrapText="1"/>
    </xf>
    <xf numFmtId="49" fontId="20" fillId="0" borderId="8" xfId="0" applyNumberFormat="1" applyFont="1" applyFill="1" applyBorder="1" applyAlignment="1" applyProtection="1">
      <alignment horizontal="center" vertical="center" wrapText="1"/>
    </xf>
    <xf numFmtId="49" fontId="20" fillId="0" borderId="11" xfId="0" applyNumberFormat="1" applyFont="1" applyFill="1" applyBorder="1" applyAlignment="1" applyProtection="1">
      <alignment horizontal="center" vertical="center" wrapText="1"/>
    </xf>
    <xf numFmtId="16" fontId="24" fillId="2" borderId="1" xfId="0" applyNumberFormat="1" applyFont="1" applyFill="1" applyBorder="1" applyAlignment="1">
      <alignment horizontal="center"/>
    </xf>
    <xf numFmtId="0" fontId="24" fillId="2" borderId="8" xfId="0" applyFont="1" applyFill="1" applyBorder="1" applyAlignment="1">
      <alignment horizontal="center"/>
    </xf>
    <xf numFmtId="0" fontId="24" fillId="2" borderId="11" xfId="0" applyFont="1" applyFill="1" applyBorder="1" applyAlignment="1">
      <alignment horizontal="center"/>
    </xf>
    <xf numFmtId="49" fontId="25" fillId="0" borderId="1"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5" fillId="0" borderId="11" xfId="0" applyNumberFormat="1" applyFont="1" applyBorder="1" applyAlignment="1" applyProtection="1">
      <alignment horizontal="center" vertical="center" wrapText="1"/>
    </xf>
    <xf numFmtId="170" fontId="24" fillId="2" borderId="1" xfId="0" applyNumberFormat="1" applyFont="1" applyFill="1" applyBorder="1" applyAlignment="1">
      <alignment horizontal="right" vertical="center" wrapText="1"/>
    </xf>
    <xf numFmtId="170" fontId="24" fillId="2" borderId="8" xfId="0" applyNumberFormat="1" applyFont="1" applyFill="1" applyBorder="1" applyAlignment="1">
      <alignment horizontal="right" vertical="center" wrapText="1"/>
    </xf>
    <xf numFmtId="170" fontId="24" fillId="2" borderId="11" xfId="0" applyNumberFormat="1" applyFont="1" applyFill="1" applyBorder="1" applyAlignment="1">
      <alignment horizontal="right" vertical="center" wrapText="1"/>
    </xf>
    <xf numFmtId="0" fontId="15" fillId="2" borderId="1" xfId="0" applyFont="1" applyFill="1" applyBorder="1" applyAlignment="1">
      <alignment horizontal="center"/>
    </xf>
    <xf numFmtId="0" fontId="15" fillId="2" borderId="8" xfId="0" applyFont="1" applyFill="1" applyBorder="1" applyAlignment="1">
      <alignment horizontal="center"/>
    </xf>
    <xf numFmtId="0" fontId="15" fillId="2" borderId="11" xfId="0" applyFont="1" applyFill="1" applyBorder="1" applyAlignment="1">
      <alignment horizontal="center"/>
    </xf>
    <xf numFmtId="16" fontId="15" fillId="2" borderId="1" xfId="0" applyNumberFormat="1" applyFont="1" applyFill="1" applyBorder="1" applyAlignment="1">
      <alignment horizontal="center" vertical="center"/>
    </xf>
    <xf numFmtId="0" fontId="15" fillId="2" borderId="8" xfId="0" applyFont="1" applyFill="1" applyBorder="1" applyAlignment="1">
      <alignment horizontal="center" vertical="center"/>
    </xf>
    <xf numFmtId="0" fontId="15" fillId="2" borderId="11" xfId="0" applyFont="1" applyFill="1" applyBorder="1" applyAlignment="1">
      <alignment horizontal="center" vertical="center"/>
    </xf>
    <xf numFmtId="14" fontId="15" fillId="2" borderId="1" xfId="0" applyNumberFormat="1" applyFont="1" applyFill="1" applyBorder="1" applyAlignment="1">
      <alignment horizontal="center" vertical="center"/>
    </xf>
    <xf numFmtId="14" fontId="15" fillId="2" borderId="8" xfId="0" applyNumberFormat="1" applyFont="1" applyFill="1" applyBorder="1" applyAlignment="1">
      <alignment horizontal="center" vertical="center"/>
    </xf>
    <xf numFmtId="14" fontId="15" fillId="2" borderId="11" xfId="0" applyNumberFormat="1" applyFont="1" applyFill="1" applyBorder="1" applyAlignment="1">
      <alignment horizontal="center" vertical="center"/>
    </xf>
    <xf numFmtId="0" fontId="6" fillId="0" borderId="2" xfId="0" applyFont="1" applyBorder="1" applyAlignment="1">
      <alignment horizontal="center" wrapText="1" shrinkToFit="1"/>
    </xf>
    <xf numFmtId="0" fontId="16" fillId="0" borderId="2" xfId="0" applyFont="1" applyFill="1" applyBorder="1" applyAlignment="1">
      <alignment horizontal="center" vertical="center" wrapText="1"/>
    </xf>
    <xf numFmtId="0" fontId="15" fillId="0" borderId="2" xfId="0" applyFont="1" applyFill="1" applyBorder="1" applyAlignment="1">
      <alignment horizontal="center"/>
    </xf>
    <xf numFmtId="49" fontId="6"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right" wrapText="1"/>
    </xf>
    <xf numFmtId="0" fontId="3" fillId="0" borderId="0" xfId="0" applyFont="1" applyFill="1" applyAlignment="1">
      <alignment horizontal="right" wrapText="1"/>
    </xf>
    <xf numFmtId="0" fontId="4" fillId="0" borderId="0" xfId="0" applyFont="1" applyFill="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3" fillId="0" borderId="8" xfId="0" applyFont="1" applyFill="1" applyBorder="1" applyAlignment="1">
      <alignment horizontal="center"/>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1" xfId="0" applyFont="1" applyFill="1" applyBorder="1" applyAlignment="1">
      <alignment horizont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165" fontId="3" fillId="0" borderId="0" xfId="0" applyNumberFormat="1" applyFont="1" applyFill="1"/>
  </cellXfs>
  <cellStyles count="33">
    <cellStyle name="Normal" xfId="30"/>
    <cellStyle name="Обычный" xfId="0" builtinId="0"/>
    <cellStyle name="Обычный 10" xfId="14"/>
    <cellStyle name="Обычный 10 2" xfId="16"/>
    <cellStyle name="Обычный 10_ФОРМА к пояснительной" xfId="19"/>
    <cellStyle name="Обычный 11" xfId="18"/>
    <cellStyle name="Обычный 11 2" xfId="32"/>
    <cellStyle name="Обычный 12" xfId="25"/>
    <cellStyle name="Обычный 12 2" xfId="28"/>
    <cellStyle name="Обычный 13" xfId="31"/>
    <cellStyle name="Обычный 2" xfId="1"/>
    <cellStyle name="Обычный 2 2" xfId="5"/>
    <cellStyle name="Обычный 20" xfId="17"/>
    <cellStyle name="Обычный 3" xfId="4"/>
    <cellStyle name="Обычный 3 2" xfId="9"/>
    <cellStyle name="Обычный 3 3" xfId="26"/>
    <cellStyle name="Обычный 3_ФОРМА к пояснительной" xfId="20"/>
    <cellStyle name="Обычный 4" xfId="6"/>
    <cellStyle name="Обычный 4 2" xfId="7"/>
    <cellStyle name="Обычный 4 3" xfId="27"/>
    <cellStyle name="Обычный 4_ФОРМА к пояснительной" xfId="21"/>
    <cellStyle name="Обычный 5" xfId="2"/>
    <cellStyle name="Обычный 6" xfId="8"/>
    <cellStyle name="Обычный 6 2" xfId="11"/>
    <cellStyle name="Обычный 6_ФОРМА к пояснительной" xfId="22"/>
    <cellStyle name="Обычный 7" xfId="10"/>
    <cellStyle name="Обычный 7 2" xfId="12"/>
    <cellStyle name="Обычный 7_ФОРМА к пояснительной" xfId="23"/>
    <cellStyle name="Обычный 8" xfId="13"/>
    <cellStyle name="Обычный 8 2" xfId="15"/>
    <cellStyle name="Обычный 8_ФОРМА к пояснительной" xfId="24"/>
    <cellStyle name="Обычный 9" xfId="3"/>
    <cellStyle name="Финансовый" xfId="29"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sheetPr>
  <dimension ref="A1:N28"/>
  <sheetViews>
    <sheetView topLeftCell="A17" zoomScale="80" zoomScaleNormal="80" workbookViewId="0">
      <selection activeCell="O22" sqref="O22"/>
    </sheetView>
  </sheetViews>
  <sheetFormatPr defaultRowHeight="15"/>
  <cols>
    <col min="1" max="1" width="8" customWidth="1"/>
    <col min="2" max="2" width="43.140625" customWidth="1"/>
    <col min="3" max="3" width="9.42578125" customWidth="1"/>
    <col min="4" max="4" width="12.28515625" customWidth="1"/>
    <col min="5" max="5" width="13.42578125" customWidth="1"/>
    <col min="6" max="6" width="9.85546875" customWidth="1"/>
    <col min="7" max="7" width="12.140625" customWidth="1"/>
    <col min="8" max="8" width="11" customWidth="1"/>
    <col min="9" max="9" width="41" customWidth="1"/>
    <col min="10" max="10" width="10.140625" customWidth="1"/>
    <col min="11" max="12" width="10" customWidth="1"/>
  </cols>
  <sheetData>
    <row r="1" spans="1:12" ht="18.75">
      <c r="J1" s="355"/>
      <c r="K1" s="355"/>
      <c r="L1" s="355"/>
    </row>
    <row r="2" spans="1:12" ht="18.75">
      <c r="A2" s="356"/>
      <c r="B2" s="357"/>
      <c r="C2" s="356"/>
      <c r="D2" s="356"/>
      <c r="E2" s="356"/>
      <c r="F2" s="356"/>
      <c r="G2" s="356"/>
      <c r="H2" s="356"/>
      <c r="I2" s="357"/>
      <c r="J2" s="355" t="s">
        <v>44</v>
      </c>
      <c r="K2" s="355"/>
      <c r="L2" s="355"/>
    </row>
    <row r="3" spans="1:12" ht="18.75">
      <c r="A3" s="356"/>
      <c r="B3" s="357"/>
      <c r="C3" s="356"/>
      <c r="D3" s="356"/>
      <c r="E3" s="356"/>
      <c r="F3" s="356"/>
      <c r="G3" s="356"/>
      <c r="H3" s="356"/>
      <c r="I3" s="357"/>
      <c r="J3" s="355" t="s">
        <v>49</v>
      </c>
      <c r="K3" s="355"/>
      <c r="L3" s="355"/>
    </row>
    <row r="4" spans="1:12" ht="18.75">
      <c r="A4" s="356"/>
      <c r="B4" s="357"/>
      <c r="C4" s="356"/>
      <c r="D4" s="356"/>
      <c r="E4" s="356"/>
      <c r="F4" s="356"/>
      <c r="G4" s="356"/>
      <c r="H4" s="356"/>
      <c r="I4" s="357"/>
      <c r="J4" s="355"/>
      <c r="K4" s="355"/>
      <c r="L4" s="355"/>
    </row>
    <row r="5" spans="1:12" ht="18.75" customHeight="1">
      <c r="A5" s="356"/>
      <c r="B5" s="746" t="s">
        <v>1017</v>
      </c>
      <c r="C5" s="746"/>
      <c r="D5" s="746"/>
      <c r="E5" s="746"/>
      <c r="F5" s="746"/>
      <c r="G5" s="746"/>
      <c r="H5" s="746"/>
      <c r="I5" s="746"/>
      <c r="J5" s="746"/>
      <c r="K5" s="746"/>
      <c r="L5" s="746"/>
    </row>
    <row r="6" spans="1:12" ht="18.75">
      <c r="A6" s="356"/>
      <c r="B6" s="746"/>
      <c r="C6" s="746"/>
      <c r="D6" s="746"/>
      <c r="E6" s="746"/>
      <c r="F6" s="746"/>
      <c r="G6" s="746"/>
      <c r="H6" s="746"/>
      <c r="I6" s="746"/>
      <c r="J6" s="746"/>
      <c r="K6" s="746"/>
      <c r="L6" s="746"/>
    </row>
    <row r="7" spans="1:12" ht="18.75">
      <c r="A7" s="356"/>
      <c r="B7" s="357"/>
      <c r="C7" s="356"/>
      <c r="D7" s="356"/>
      <c r="E7" s="356"/>
      <c r="F7" s="356"/>
      <c r="G7" s="356"/>
      <c r="H7" s="356"/>
      <c r="I7" s="357"/>
      <c r="J7" s="355"/>
      <c r="K7" s="355"/>
      <c r="L7" s="355"/>
    </row>
    <row r="8" spans="1:12">
      <c r="A8" s="747" t="s">
        <v>16</v>
      </c>
      <c r="B8" s="750" t="s">
        <v>220</v>
      </c>
      <c r="C8" s="753" t="s">
        <v>0</v>
      </c>
      <c r="D8" s="753"/>
      <c r="E8" s="753"/>
      <c r="F8" s="754" t="s">
        <v>609</v>
      </c>
      <c r="G8" s="754"/>
      <c r="H8" s="754"/>
      <c r="I8" s="755" t="s">
        <v>1</v>
      </c>
      <c r="J8" s="758" t="s">
        <v>2</v>
      </c>
      <c r="K8" s="758"/>
      <c r="L8" s="758"/>
    </row>
    <row r="9" spans="1:12" ht="21" customHeight="1">
      <c r="A9" s="748"/>
      <c r="B9" s="751"/>
      <c r="C9" s="753"/>
      <c r="D9" s="753"/>
      <c r="E9" s="753"/>
      <c r="F9" s="754"/>
      <c r="G9" s="754"/>
      <c r="H9" s="754"/>
      <c r="I9" s="756"/>
      <c r="J9" s="758"/>
      <c r="K9" s="758"/>
      <c r="L9" s="758"/>
    </row>
    <row r="10" spans="1:12" ht="59.25" customHeight="1">
      <c r="A10" s="749"/>
      <c r="B10" s="752"/>
      <c r="C10" s="469" t="s">
        <v>3</v>
      </c>
      <c r="D10" s="469" t="s">
        <v>4</v>
      </c>
      <c r="E10" s="469" t="s">
        <v>242</v>
      </c>
      <c r="F10" s="98" t="s">
        <v>222</v>
      </c>
      <c r="G10" s="98" t="s">
        <v>314</v>
      </c>
      <c r="H10" s="98" t="s">
        <v>425</v>
      </c>
      <c r="I10" s="757"/>
      <c r="J10" s="470" t="s">
        <v>223</v>
      </c>
      <c r="K10" s="470" t="s">
        <v>315</v>
      </c>
      <c r="L10" s="470" t="s">
        <v>427</v>
      </c>
    </row>
    <row r="11" spans="1:12" ht="27.75" customHeight="1">
      <c r="A11" s="469">
        <v>1</v>
      </c>
      <c r="B11" s="98">
        <v>2</v>
      </c>
      <c r="C11" s="469">
        <v>3</v>
      </c>
      <c r="D11" s="469">
        <v>4</v>
      </c>
      <c r="E11" s="469">
        <v>5</v>
      </c>
      <c r="F11" s="98">
        <v>6</v>
      </c>
      <c r="G11" s="98">
        <v>7</v>
      </c>
      <c r="H11" s="98">
        <v>8</v>
      </c>
      <c r="I11" s="474">
        <v>9</v>
      </c>
      <c r="J11" s="470">
        <v>10</v>
      </c>
      <c r="K11" s="470">
        <v>11</v>
      </c>
      <c r="L11" s="470">
        <v>12</v>
      </c>
    </row>
    <row r="12" spans="1:12" ht="61.5" customHeight="1">
      <c r="A12" s="225"/>
      <c r="B12" s="358" t="s">
        <v>1018</v>
      </c>
      <c r="C12" s="288"/>
      <c r="D12" s="289"/>
      <c r="E12" s="359" t="s">
        <v>283</v>
      </c>
      <c r="F12" s="360">
        <f t="shared" ref="F12" si="0">F13+F19</f>
        <v>369.6</v>
      </c>
      <c r="G12" s="360">
        <v>256.5</v>
      </c>
      <c r="H12" s="360">
        <v>245.7</v>
      </c>
      <c r="I12" s="473"/>
      <c r="J12" s="472"/>
      <c r="K12" s="472"/>
      <c r="L12" s="472"/>
    </row>
    <row r="13" spans="1:12" ht="57" customHeight="1">
      <c r="A13" s="361">
        <v>1</v>
      </c>
      <c r="B13" s="362" t="s">
        <v>1019</v>
      </c>
      <c r="C13" s="363"/>
      <c r="D13" s="363"/>
      <c r="E13" s="364" t="s">
        <v>284</v>
      </c>
      <c r="F13" s="365">
        <f t="shared" ref="F13" si="1">F14</f>
        <v>90</v>
      </c>
      <c r="G13" s="365">
        <v>85.5</v>
      </c>
      <c r="H13" s="365">
        <v>81.900000000000006</v>
      </c>
      <c r="I13" s="363"/>
      <c r="J13" s="366"/>
      <c r="K13" s="366"/>
      <c r="L13" s="367"/>
    </row>
    <row r="14" spans="1:12" ht="56.25" customHeight="1">
      <c r="A14" s="289" t="s">
        <v>191</v>
      </c>
      <c r="B14" s="362" t="s">
        <v>1020</v>
      </c>
      <c r="C14" s="363"/>
      <c r="D14" s="363"/>
      <c r="E14" s="364" t="s">
        <v>1021</v>
      </c>
      <c r="F14" s="365">
        <f t="shared" ref="F14" si="2">F15+F16+F17+F18</f>
        <v>90</v>
      </c>
      <c r="G14" s="365">
        <v>85.5</v>
      </c>
      <c r="H14" s="365">
        <v>81.900000000000006</v>
      </c>
      <c r="I14" s="362" t="s">
        <v>1022</v>
      </c>
      <c r="J14" s="368">
        <v>0.78</v>
      </c>
      <c r="K14" s="368">
        <v>0.74</v>
      </c>
      <c r="L14" s="369">
        <v>0.7</v>
      </c>
    </row>
    <row r="15" spans="1:12" ht="32.25" customHeight="1">
      <c r="A15" s="289" t="s">
        <v>186</v>
      </c>
      <c r="B15" s="362" t="s">
        <v>1023</v>
      </c>
      <c r="C15" s="370" t="s">
        <v>1024</v>
      </c>
      <c r="D15" s="370" t="s">
        <v>22</v>
      </c>
      <c r="E15" s="371" t="s">
        <v>1025</v>
      </c>
      <c r="F15" s="158">
        <v>40.200000000000003</v>
      </c>
      <c r="G15" s="158">
        <v>38.200000000000003</v>
      </c>
      <c r="H15" s="158">
        <v>36.6</v>
      </c>
      <c r="I15" s="362" t="s">
        <v>1026</v>
      </c>
      <c r="J15" s="368">
        <v>70.5</v>
      </c>
      <c r="K15" s="368">
        <v>71</v>
      </c>
      <c r="L15" s="369">
        <v>71.5</v>
      </c>
    </row>
    <row r="16" spans="1:12" ht="32.25" customHeight="1">
      <c r="A16" s="289" t="s">
        <v>192</v>
      </c>
      <c r="B16" s="362" t="s">
        <v>1027</v>
      </c>
      <c r="C16" s="370" t="s">
        <v>1024</v>
      </c>
      <c r="D16" s="370" t="s">
        <v>22</v>
      </c>
      <c r="E16" s="371" t="s">
        <v>1028</v>
      </c>
      <c r="F16" s="158">
        <v>32</v>
      </c>
      <c r="G16" s="158">
        <v>30.4</v>
      </c>
      <c r="H16" s="158">
        <v>29.1</v>
      </c>
      <c r="I16" s="362" t="s">
        <v>1029</v>
      </c>
      <c r="J16" s="368">
        <v>19.7</v>
      </c>
      <c r="K16" s="368">
        <v>20.2</v>
      </c>
      <c r="L16" s="369">
        <v>20.7</v>
      </c>
    </row>
    <row r="17" spans="1:14" ht="39.75" customHeight="1">
      <c r="A17" s="289" t="s">
        <v>226</v>
      </c>
      <c r="B17" s="362" t="s">
        <v>1030</v>
      </c>
      <c r="C17" s="370" t="s">
        <v>1024</v>
      </c>
      <c r="D17" s="370" t="s">
        <v>22</v>
      </c>
      <c r="E17" s="371" t="s">
        <v>1031</v>
      </c>
      <c r="F17" s="158">
        <v>6.3</v>
      </c>
      <c r="G17" s="158">
        <v>6</v>
      </c>
      <c r="H17" s="158">
        <v>5.7</v>
      </c>
      <c r="I17" s="3"/>
      <c r="J17" s="368"/>
      <c r="K17" s="368"/>
      <c r="L17" s="369"/>
    </row>
    <row r="18" spans="1:14" ht="66" customHeight="1">
      <c r="A18" s="289" t="s">
        <v>229</v>
      </c>
      <c r="B18" s="382" t="s">
        <v>1032</v>
      </c>
      <c r="C18" s="370" t="s">
        <v>1024</v>
      </c>
      <c r="D18" s="370" t="s">
        <v>22</v>
      </c>
      <c r="E18" s="371" t="s">
        <v>1033</v>
      </c>
      <c r="F18" s="158">
        <v>11.5</v>
      </c>
      <c r="G18" s="158">
        <v>10.9</v>
      </c>
      <c r="H18" s="158">
        <v>10.5</v>
      </c>
      <c r="I18" s="362" t="s">
        <v>1034</v>
      </c>
      <c r="J18" s="368">
        <v>12</v>
      </c>
      <c r="K18" s="368">
        <v>15</v>
      </c>
      <c r="L18" s="369">
        <v>20</v>
      </c>
    </row>
    <row r="19" spans="1:14" ht="82.5" customHeight="1">
      <c r="A19" s="289" t="s">
        <v>38</v>
      </c>
      <c r="B19" s="372" t="s">
        <v>1035</v>
      </c>
      <c r="C19" s="363"/>
      <c r="D19" s="363"/>
      <c r="E19" s="364" t="s">
        <v>1036</v>
      </c>
      <c r="F19" s="365">
        <f>F20</f>
        <v>279.60000000000002</v>
      </c>
      <c r="G19" s="365">
        <v>171</v>
      </c>
      <c r="H19" s="365">
        <v>163.80000000000001</v>
      </c>
      <c r="I19" s="362" t="s">
        <v>1037</v>
      </c>
      <c r="J19" s="368">
        <v>4</v>
      </c>
      <c r="K19" s="368">
        <v>4</v>
      </c>
      <c r="L19" s="369">
        <v>4</v>
      </c>
    </row>
    <row r="20" spans="1:14" ht="102.75" customHeight="1">
      <c r="A20" s="289" t="s">
        <v>195</v>
      </c>
      <c r="B20" s="362" t="s">
        <v>1038</v>
      </c>
      <c r="C20" s="363"/>
      <c r="D20" s="363"/>
      <c r="E20" s="364" t="s">
        <v>285</v>
      </c>
      <c r="F20" s="365">
        <f>F21+F22</f>
        <v>279.60000000000002</v>
      </c>
      <c r="G20" s="365">
        <v>171</v>
      </c>
      <c r="H20" s="365">
        <v>163.80000000000001</v>
      </c>
      <c r="I20" s="372" t="s">
        <v>1039</v>
      </c>
      <c r="J20" s="368">
        <v>8</v>
      </c>
      <c r="K20" s="368">
        <v>0</v>
      </c>
      <c r="L20" s="369">
        <v>0</v>
      </c>
    </row>
    <row r="21" spans="1:14" ht="54" customHeight="1">
      <c r="A21" s="289" t="s">
        <v>196</v>
      </c>
      <c r="B21" s="362" t="s">
        <v>1040</v>
      </c>
      <c r="C21" s="370" t="s">
        <v>1041</v>
      </c>
      <c r="D21" s="370" t="s">
        <v>286</v>
      </c>
      <c r="E21" s="371" t="s">
        <v>1042</v>
      </c>
      <c r="F21" s="158">
        <v>180</v>
      </c>
      <c r="G21" s="158">
        <v>171</v>
      </c>
      <c r="H21" s="158">
        <v>163.80000000000001</v>
      </c>
      <c r="I21" s="372" t="s">
        <v>1043</v>
      </c>
      <c r="J21" s="368">
        <v>5</v>
      </c>
      <c r="K21" s="368">
        <v>5</v>
      </c>
      <c r="L21" s="369">
        <v>5</v>
      </c>
    </row>
    <row r="22" spans="1:14" ht="66.75" customHeight="1">
      <c r="A22" s="289" t="s">
        <v>237</v>
      </c>
      <c r="B22" s="362" t="s">
        <v>1044</v>
      </c>
      <c r="C22" s="370" t="s">
        <v>1041</v>
      </c>
      <c r="D22" s="370" t="s">
        <v>286</v>
      </c>
      <c r="E22" s="371" t="s">
        <v>1045</v>
      </c>
      <c r="F22" s="158">
        <v>99.6</v>
      </c>
      <c r="G22" s="158">
        <v>0</v>
      </c>
      <c r="H22" s="158">
        <v>0</v>
      </c>
      <c r="I22" s="362" t="s">
        <v>1046</v>
      </c>
      <c r="J22" s="368">
        <v>8</v>
      </c>
      <c r="K22" s="368">
        <v>0</v>
      </c>
      <c r="L22" s="369">
        <v>0</v>
      </c>
    </row>
    <row r="23" spans="1:14" ht="66" customHeight="1">
      <c r="A23" s="289" t="s">
        <v>239</v>
      </c>
      <c r="B23" s="373" t="s">
        <v>1047</v>
      </c>
      <c r="C23" s="284"/>
      <c r="D23" s="154"/>
      <c r="E23" s="374" t="s">
        <v>374</v>
      </c>
      <c r="F23" s="375">
        <f>F24</f>
        <v>0</v>
      </c>
      <c r="G23" s="375">
        <f>G24</f>
        <v>0</v>
      </c>
      <c r="H23" s="375">
        <f>H24</f>
        <v>0</v>
      </c>
      <c r="I23" s="284"/>
      <c r="J23" s="376"/>
      <c r="K23" s="376"/>
      <c r="L23" s="376"/>
    </row>
    <row r="24" spans="1:14" ht="78" customHeight="1">
      <c r="A24" s="289" t="s">
        <v>240</v>
      </c>
      <c r="B24" s="373" t="s">
        <v>1048</v>
      </c>
      <c r="C24" s="377" t="s">
        <v>1041</v>
      </c>
      <c r="D24" s="239" t="s">
        <v>823</v>
      </c>
      <c r="E24" s="378" t="s">
        <v>1049</v>
      </c>
      <c r="F24" s="158">
        <v>0</v>
      </c>
      <c r="G24" s="158">
        <v>0</v>
      </c>
      <c r="H24" s="158">
        <v>0</v>
      </c>
      <c r="I24" s="373" t="s">
        <v>1050</v>
      </c>
      <c r="J24" s="368">
        <v>2</v>
      </c>
      <c r="K24" s="368">
        <v>0</v>
      </c>
      <c r="L24" s="368">
        <v>0</v>
      </c>
    </row>
    <row r="25" spans="1:14" ht="12.75" customHeight="1">
      <c r="F25" s="379"/>
      <c r="G25" s="379"/>
      <c r="H25" s="379"/>
    </row>
    <row r="26" spans="1:14" ht="23.25" customHeight="1">
      <c r="A26" s="380"/>
      <c r="B26" s="380"/>
      <c r="C26" s="380"/>
      <c r="D26" s="380"/>
      <c r="E26" s="380"/>
      <c r="F26" s="380"/>
      <c r="G26" s="380"/>
      <c r="H26" s="380"/>
      <c r="I26" s="380"/>
      <c r="J26" s="380"/>
      <c r="K26" s="380"/>
      <c r="L26" s="380"/>
      <c r="M26" s="380"/>
      <c r="N26" s="380"/>
    </row>
    <row r="27" spans="1:14" ht="15.75">
      <c r="A27" s="380"/>
      <c r="B27" s="380"/>
      <c r="C27" s="380"/>
      <c r="D27" s="380"/>
      <c r="E27" s="380"/>
      <c r="F27" s="380"/>
      <c r="G27" s="380"/>
      <c r="H27" s="380"/>
      <c r="I27" s="380"/>
      <c r="J27" s="380"/>
      <c r="K27" s="380"/>
      <c r="L27" s="380"/>
      <c r="M27" s="380"/>
      <c r="N27" s="380"/>
    </row>
    <row r="28" spans="1:14" ht="17.25">
      <c r="A28" s="381"/>
      <c r="B28" s="381"/>
      <c r="C28" s="381"/>
      <c r="D28" s="381"/>
      <c r="E28" s="381"/>
      <c r="F28" s="381"/>
      <c r="G28" s="381"/>
      <c r="H28" s="381"/>
      <c r="I28" s="381"/>
      <c r="J28" s="381"/>
      <c r="K28" s="381"/>
      <c r="L28" s="381"/>
    </row>
  </sheetData>
  <mergeCells count="7">
    <mergeCell ref="B5:L6"/>
    <mergeCell ref="A8:A10"/>
    <mergeCell ref="B8:B10"/>
    <mergeCell ref="C8:E9"/>
    <mergeCell ref="F8:H9"/>
    <mergeCell ref="I8:I10"/>
    <mergeCell ref="J8:L9"/>
  </mergeCells>
  <pageMargins left="0" right="0" top="0" bottom="0.19685039370078741"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I37"/>
  <sheetViews>
    <sheetView topLeftCell="A25" workbookViewId="0">
      <selection activeCell="B32" sqref="B32"/>
    </sheetView>
  </sheetViews>
  <sheetFormatPr defaultRowHeight="15"/>
  <cols>
    <col min="1" max="1" width="3.42578125" customWidth="1"/>
    <col min="2" max="2" width="74.42578125" customWidth="1"/>
    <col min="3" max="3" width="12.7109375" customWidth="1"/>
    <col min="4" max="4" width="6.42578125" customWidth="1"/>
    <col min="5" max="5" width="16.5703125" customWidth="1"/>
    <col min="6" max="7" width="6.42578125" customWidth="1"/>
    <col min="8" max="8" width="10" customWidth="1"/>
    <col min="9" max="9" width="64.85546875" customWidth="1"/>
  </cols>
  <sheetData>
    <row r="1" spans="1:9" ht="30">
      <c r="H1" s="605"/>
      <c r="I1" s="616" t="s">
        <v>1533</v>
      </c>
    </row>
    <row r="2" spans="1:9">
      <c r="B2" s="617" t="s">
        <v>1534</v>
      </c>
    </row>
    <row r="4" spans="1:9">
      <c r="A4" s="932" t="s">
        <v>16</v>
      </c>
      <c r="B4" s="832" t="s">
        <v>1129</v>
      </c>
      <c r="C4" s="936" t="s">
        <v>0</v>
      </c>
      <c r="D4" s="937"/>
      <c r="E4" s="938"/>
      <c r="F4" s="942" t="s">
        <v>1494</v>
      </c>
      <c r="G4" s="942"/>
      <c r="H4" s="942"/>
      <c r="I4" s="839" t="s">
        <v>1</v>
      </c>
    </row>
    <row r="5" spans="1:9">
      <c r="A5" s="933"/>
      <c r="B5" s="935"/>
      <c r="C5" s="939"/>
      <c r="D5" s="940"/>
      <c r="E5" s="941"/>
      <c r="F5" s="839" t="s">
        <v>222</v>
      </c>
      <c r="G5" s="839" t="s">
        <v>314</v>
      </c>
      <c r="H5" s="839" t="s">
        <v>425</v>
      </c>
      <c r="I5" s="839"/>
    </row>
    <row r="6" spans="1:9" ht="15.75">
      <c r="A6" s="934"/>
      <c r="B6" s="833"/>
      <c r="C6" s="585" t="s">
        <v>3</v>
      </c>
      <c r="D6" s="585" t="s">
        <v>4</v>
      </c>
      <c r="E6" s="585" t="s">
        <v>5</v>
      </c>
      <c r="F6" s="839"/>
      <c r="G6" s="839"/>
      <c r="H6" s="839"/>
      <c r="I6" s="839"/>
    </row>
    <row r="7" spans="1:9" ht="15.75">
      <c r="A7" s="924">
        <v>1</v>
      </c>
      <c r="B7" s="925" t="s">
        <v>1495</v>
      </c>
      <c r="C7" s="586" t="s">
        <v>7</v>
      </c>
      <c r="D7" s="586" t="s">
        <v>8</v>
      </c>
      <c r="E7" s="587" t="s">
        <v>1496</v>
      </c>
      <c r="F7" s="588">
        <f>SUM(F8:F15)</f>
        <v>896.2</v>
      </c>
      <c r="G7" s="588">
        <f>SUM(G8:G15)</f>
        <v>851.3</v>
      </c>
      <c r="H7" s="588">
        <f>SUM(H8:H15)</f>
        <v>815.4</v>
      </c>
      <c r="I7" s="927"/>
    </row>
    <row r="8" spans="1:9" ht="13.5" customHeight="1">
      <c r="A8" s="919"/>
      <c r="B8" s="926"/>
      <c r="C8" s="589" t="s">
        <v>1497</v>
      </c>
      <c r="D8" s="590"/>
      <c r="E8" s="289" t="s">
        <v>1496</v>
      </c>
      <c r="F8" s="588">
        <f>F18</f>
        <v>50</v>
      </c>
      <c r="G8" s="588">
        <f>G18</f>
        <v>50</v>
      </c>
      <c r="H8" s="588">
        <f t="shared" ref="H8" si="0">H18</f>
        <v>40</v>
      </c>
      <c r="I8" s="927"/>
    </row>
    <row r="9" spans="1:9" ht="16.5" customHeight="1">
      <c r="A9" s="919"/>
      <c r="B9" s="926"/>
      <c r="C9" s="589" t="s">
        <v>1130</v>
      </c>
      <c r="D9" s="590"/>
      <c r="E9" s="289" t="s">
        <v>1496</v>
      </c>
      <c r="F9" s="588">
        <f>F19+F27+F31+F35+F37</f>
        <v>716.2</v>
      </c>
      <c r="G9" s="588">
        <f t="shared" ref="G9:H9" si="1">G19+G27+G31+G35+G37</f>
        <v>681.3</v>
      </c>
      <c r="H9" s="588">
        <f t="shared" si="1"/>
        <v>645.4</v>
      </c>
      <c r="I9" s="927"/>
    </row>
    <row r="10" spans="1:9" ht="15.75" customHeight="1">
      <c r="A10" s="919"/>
      <c r="B10" s="926"/>
      <c r="C10" s="589" t="s">
        <v>1498</v>
      </c>
      <c r="D10" s="590"/>
      <c r="E10" s="289" t="s">
        <v>1496</v>
      </c>
      <c r="F10" s="588">
        <f>F20</f>
        <v>0</v>
      </c>
      <c r="G10" s="588">
        <f t="shared" ref="G10:H10" si="2">G20</f>
        <v>0</v>
      </c>
      <c r="H10" s="588">
        <f t="shared" si="2"/>
        <v>0</v>
      </c>
      <c r="I10" s="927"/>
    </row>
    <row r="11" spans="1:9" ht="15.75" customHeight="1">
      <c r="A11" s="919"/>
      <c r="B11" s="926"/>
      <c r="C11" s="589" t="s">
        <v>1499</v>
      </c>
      <c r="D11" s="590"/>
      <c r="E11" s="289" t="s">
        <v>1496</v>
      </c>
      <c r="F11" s="588">
        <f>F22</f>
        <v>50</v>
      </c>
      <c r="G11" s="588">
        <f t="shared" ref="G11:H11" si="3">G22</f>
        <v>50</v>
      </c>
      <c r="H11" s="588">
        <f t="shared" si="3"/>
        <v>30</v>
      </c>
      <c r="I11" s="927"/>
    </row>
    <row r="12" spans="1:9" ht="18" customHeight="1">
      <c r="A12" s="919"/>
      <c r="B12" s="926"/>
      <c r="C12" s="589" t="s">
        <v>1500</v>
      </c>
      <c r="D12" s="590"/>
      <c r="E12" s="289" t="s">
        <v>1496</v>
      </c>
      <c r="F12" s="588">
        <f>F21</f>
        <v>10</v>
      </c>
      <c r="G12" s="588">
        <f>G21</f>
        <v>0</v>
      </c>
      <c r="H12" s="588">
        <f t="shared" ref="H12" si="4">H21</f>
        <v>0</v>
      </c>
      <c r="I12" s="927"/>
    </row>
    <row r="13" spans="1:9" ht="16.5" customHeight="1">
      <c r="A13" s="919"/>
      <c r="B13" s="926"/>
      <c r="C13" s="589" t="s">
        <v>1501</v>
      </c>
      <c r="D13" s="590"/>
      <c r="E13" s="289" t="s">
        <v>1496</v>
      </c>
      <c r="F13" s="588">
        <f>F23</f>
        <v>40</v>
      </c>
      <c r="G13" s="588">
        <f t="shared" ref="G13:H13" si="5">G23</f>
        <v>40</v>
      </c>
      <c r="H13" s="588">
        <f t="shared" si="5"/>
        <v>60</v>
      </c>
      <c r="I13" s="927"/>
    </row>
    <row r="14" spans="1:9" ht="16.5" customHeight="1">
      <c r="A14" s="919"/>
      <c r="B14" s="926"/>
      <c r="C14" s="589" t="s">
        <v>1502</v>
      </c>
      <c r="D14" s="590"/>
      <c r="E14" s="289" t="s">
        <v>1503</v>
      </c>
      <c r="F14" s="588">
        <f>F25</f>
        <v>10</v>
      </c>
      <c r="G14" s="588">
        <f t="shared" ref="G14:H14" si="6">G25</f>
        <v>10</v>
      </c>
      <c r="H14" s="588">
        <f t="shared" si="6"/>
        <v>30</v>
      </c>
      <c r="I14" s="927"/>
    </row>
    <row r="15" spans="1:9" ht="30.75" hidden="1" customHeight="1">
      <c r="A15" s="919"/>
      <c r="B15" s="926"/>
      <c r="C15" s="589" t="s">
        <v>1504</v>
      </c>
      <c r="D15" s="590"/>
      <c r="E15" s="289" t="s">
        <v>1496</v>
      </c>
      <c r="F15" s="588">
        <f>F24</f>
        <v>20</v>
      </c>
      <c r="G15" s="588">
        <f t="shared" ref="G15:H15" si="7">G24</f>
        <v>20</v>
      </c>
      <c r="H15" s="588">
        <f t="shared" si="7"/>
        <v>10</v>
      </c>
      <c r="I15" s="927"/>
    </row>
    <row r="16" spans="1:9" ht="39" customHeight="1">
      <c r="A16" s="924" t="s">
        <v>18</v>
      </c>
      <c r="B16" s="591" t="s">
        <v>1505</v>
      </c>
      <c r="C16" s="485"/>
      <c r="D16" s="586"/>
      <c r="E16" s="587" t="s">
        <v>1506</v>
      </c>
      <c r="F16" s="592">
        <f>F17+F26</f>
        <v>387.9</v>
      </c>
      <c r="G16" s="592">
        <f t="shared" ref="G16:H16" si="8">G17+G26</f>
        <v>368.5</v>
      </c>
      <c r="H16" s="592">
        <f t="shared" si="8"/>
        <v>352.9</v>
      </c>
      <c r="I16" s="930" t="s">
        <v>1507</v>
      </c>
    </row>
    <row r="17" spans="1:9" ht="18.75" customHeight="1">
      <c r="A17" s="919"/>
      <c r="B17" s="593" t="s">
        <v>1508</v>
      </c>
      <c r="C17" s="485"/>
      <c r="D17" s="586"/>
      <c r="E17" s="587" t="s">
        <v>1509</v>
      </c>
      <c r="F17" s="594">
        <f>SUM(F18:F25)</f>
        <v>310</v>
      </c>
      <c r="G17" s="594">
        <f t="shared" ref="G17:H17" si="9">SUM(G18:G25)</f>
        <v>290</v>
      </c>
      <c r="H17" s="594">
        <f t="shared" si="9"/>
        <v>280</v>
      </c>
      <c r="I17" s="930"/>
    </row>
    <row r="18" spans="1:9" ht="24.75" customHeight="1">
      <c r="A18" s="928"/>
      <c r="B18" s="584" t="s">
        <v>1510</v>
      </c>
      <c r="C18" s="491">
        <v>901</v>
      </c>
      <c r="D18" s="595" t="s">
        <v>62</v>
      </c>
      <c r="E18" s="289" t="s">
        <v>1506</v>
      </c>
      <c r="F18" s="594">
        <v>50</v>
      </c>
      <c r="G18" s="594">
        <v>50</v>
      </c>
      <c r="H18" s="594">
        <v>40</v>
      </c>
      <c r="I18" s="930"/>
    </row>
    <row r="19" spans="1:9" ht="18.75" customHeight="1">
      <c r="A19" s="928"/>
      <c r="B19" s="596" t="s">
        <v>1511</v>
      </c>
      <c r="C19" s="491">
        <v>902</v>
      </c>
      <c r="D19" s="595" t="s">
        <v>63</v>
      </c>
      <c r="E19" s="289" t="s">
        <v>1506</v>
      </c>
      <c r="F19" s="594">
        <v>130</v>
      </c>
      <c r="G19" s="594">
        <v>120</v>
      </c>
      <c r="H19" s="594">
        <v>110</v>
      </c>
      <c r="I19" s="930"/>
    </row>
    <row r="20" spans="1:9" ht="18" customHeight="1">
      <c r="A20" s="928"/>
      <c r="B20" s="597" t="s">
        <v>1512</v>
      </c>
      <c r="C20" s="491">
        <v>903</v>
      </c>
      <c r="D20" s="595" t="s">
        <v>64</v>
      </c>
      <c r="E20" s="289" t="s">
        <v>1506</v>
      </c>
      <c r="F20" s="594">
        <v>0</v>
      </c>
      <c r="G20" s="594">
        <v>0</v>
      </c>
      <c r="H20" s="594">
        <v>0</v>
      </c>
      <c r="I20" s="930"/>
    </row>
    <row r="21" spans="1:9" ht="16.5" customHeight="1">
      <c r="A21" s="928"/>
      <c r="B21" s="596" t="s">
        <v>1513</v>
      </c>
      <c r="C21" s="491">
        <v>906</v>
      </c>
      <c r="D21" s="595" t="s">
        <v>62</v>
      </c>
      <c r="E21" s="289" t="s">
        <v>1506</v>
      </c>
      <c r="F21" s="594">
        <v>10</v>
      </c>
      <c r="G21" s="594">
        <v>0</v>
      </c>
      <c r="H21" s="594">
        <v>0</v>
      </c>
      <c r="I21" s="930"/>
    </row>
    <row r="22" spans="1:9" ht="41.25" customHeight="1">
      <c r="A22" s="928"/>
      <c r="B22" s="596" t="s">
        <v>1514</v>
      </c>
      <c r="C22" s="491">
        <v>905</v>
      </c>
      <c r="D22" s="595" t="s">
        <v>63</v>
      </c>
      <c r="E22" s="289" t="s">
        <v>1506</v>
      </c>
      <c r="F22" s="594">
        <v>50</v>
      </c>
      <c r="G22" s="594">
        <v>50</v>
      </c>
      <c r="H22" s="594">
        <v>30</v>
      </c>
      <c r="I22" s="930"/>
    </row>
    <row r="23" spans="1:9" ht="37.5" customHeight="1">
      <c r="A23" s="928"/>
      <c r="B23" s="597" t="s">
        <v>1515</v>
      </c>
      <c r="C23" s="491">
        <v>911</v>
      </c>
      <c r="D23" s="595" t="s">
        <v>807</v>
      </c>
      <c r="E23" s="289" t="s">
        <v>1506</v>
      </c>
      <c r="F23" s="594">
        <v>40</v>
      </c>
      <c r="G23" s="594">
        <v>40</v>
      </c>
      <c r="H23" s="594">
        <v>60</v>
      </c>
      <c r="I23" s="930"/>
    </row>
    <row r="24" spans="1:9" ht="21" customHeight="1">
      <c r="A24" s="928"/>
      <c r="B24" s="598" t="s">
        <v>1516</v>
      </c>
      <c r="C24" s="491">
        <v>915</v>
      </c>
      <c r="D24" s="595" t="s">
        <v>1532</v>
      </c>
      <c r="E24" s="289" t="s">
        <v>1506</v>
      </c>
      <c r="F24" s="594">
        <v>20</v>
      </c>
      <c r="G24" s="594">
        <v>20</v>
      </c>
      <c r="H24" s="594">
        <v>10</v>
      </c>
      <c r="I24" s="930"/>
    </row>
    <row r="25" spans="1:9" ht="30" customHeight="1">
      <c r="A25" s="929"/>
      <c r="B25" s="599" t="s">
        <v>1517</v>
      </c>
      <c r="C25" s="491">
        <v>935</v>
      </c>
      <c r="D25" s="595" t="s">
        <v>41</v>
      </c>
      <c r="E25" s="289" t="s">
        <v>1506</v>
      </c>
      <c r="F25" s="594">
        <v>10</v>
      </c>
      <c r="G25" s="594">
        <v>10</v>
      </c>
      <c r="H25" s="594">
        <v>30</v>
      </c>
      <c r="I25" s="930"/>
    </row>
    <row r="26" spans="1:9" ht="23.25" customHeight="1">
      <c r="A26" s="600"/>
      <c r="B26" s="593" t="s">
        <v>1518</v>
      </c>
      <c r="C26" s="491">
        <v>902</v>
      </c>
      <c r="D26" s="595" t="s">
        <v>63</v>
      </c>
      <c r="E26" s="92" t="s">
        <v>1519</v>
      </c>
      <c r="F26" s="601">
        <f>F27</f>
        <v>77.900000000000006</v>
      </c>
      <c r="G26" s="594">
        <f>G27</f>
        <v>78.5</v>
      </c>
      <c r="H26" s="594">
        <f>H27</f>
        <v>72.900000000000006</v>
      </c>
      <c r="I26" s="930"/>
    </row>
    <row r="27" spans="1:9" ht="18" customHeight="1">
      <c r="A27" s="600"/>
      <c r="B27" s="596" t="s">
        <v>1511</v>
      </c>
      <c r="C27" s="491">
        <v>902</v>
      </c>
      <c r="D27" s="595" t="s">
        <v>63</v>
      </c>
      <c r="E27" s="92" t="s">
        <v>1520</v>
      </c>
      <c r="F27" s="601">
        <v>77.900000000000006</v>
      </c>
      <c r="G27" s="601">
        <v>78.5</v>
      </c>
      <c r="H27" s="601">
        <v>72.900000000000006</v>
      </c>
      <c r="I27" s="930"/>
    </row>
    <row r="28" spans="1:9" ht="40.5" customHeight="1">
      <c r="A28" s="924"/>
      <c r="B28" s="591" t="s">
        <v>1521</v>
      </c>
      <c r="C28" s="485"/>
      <c r="D28" s="587" t="s">
        <v>1522</v>
      </c>
      <c r="E28" s="587" t="s">
        <v>1569</v>
      </c>
      <c r="F28" s="602">
        <f t="shared" ref="F28:H30" si="10">F29</f>
        <v>58.3</v>
      </c>
      <c r="G28" s="602">
        <f t="shared" si="10"/>
        <v>55.3</v>
      </c>
      <c r="H28" s="602">
        <f t="shared" si="10"/>
        <v>53</v>
      </c>
      <c r="I28" s="921" t="s">
        <v>1524</v>
      </c>
    </row>
    <row r="29" spans="1:9" ht="51" customHeight="1">
      <c r="A29" s="919"/>
      <c r="B29" s="538" t="s">
        <v>1525</v>
      </c>
      <c r="C29" s="485"/>
      <c r="D29" s="586"/>
      <c r="E29" s="289" t="s">
        <v>1570</v>
      </c>
      <c r="F29" s="603">
        <f t="shared" si="10"/>
        <v>58.3</v>
      </c>
      <c r="G29" s="603">
        <f t="shared" si="10"/>
        <v>55.3</v>
      </c>
      <c r="H29" s="603">
        <f t="shared" si="10"/>
        <v>53</v>
      </c>
      <c r="I29" s="922"/>
    </row>
    <row r="30" spans="1:9" ht="18.75" customHeight="1">
      <c r="A30" s="919"/>
      <c r="B30" s="538" t="s">
        <v>1526</v>
      </c>
      <c r="C30" s="485"/>
      <c r="D30" s="586"/>
      <c r="E30" s="289" t="s">
        <v>1570</v>
      </c>
      <c r="F30" s="603">
        <f t="shared" si="10"/>
        <v>58.3</v>
      </c>
      <c r="G30" s="603">
        <f t="shared" si="10"/>
        <v>55.3</v>
      </c>
      <c r="H30" s="603">
        <f t="shared" si="10"/>
        <v>53</v>
      </c>
      <c r="I30" s="922"/>
    </row>
    <row r="31" spans="1:9" ht="17.25" customHeight="1">
      <c r="A31" s="931"/>
      <c r="B31" s="596" t="s">
        <v>1511</v>
      </c>
      <c r="C31" s="491">
        <v>902</v>
      </c>
      <c r="D31" s="595" t="s">
        <v>63</v>
      </c>
      <c r="E31" s="289" t="s">
        <v>1570</v>
      </c>
      <c r="F31" s="603">
        <v>58.3</v>
      </c>
      <c r="G31" s="603">
        <v>55.3</v>
      </c>
      <c r="H31" s="603">
        <v>53</v>
      </c>
      <c r="I31" s="923"/>
    </row>
    <row r="32" spans="1:9" ht="57.75" customHeight="1">
      <c r="A32" s="918" t="s">
        <v>24</v>
      </c>
      <c r="B32" s="604" t="s">
        <v>1527</v>
      </c>
      <c r="C32" s="491"/>
      <c r="D32" s="491"/>
      <c r="E32" s="92" t="s">
        <v>1523</v>
      </c>
      <c r="F32" s="602">
        <v>450</v>
      </c>
      <c r="G32" s="602">
        <f>G33</f>
        <v>427.5</v>
      </c>
      <c r="H32" s="602">
        <f>H33</f>
        <v>409.5</v>
      </c>
      <c r="I32" s="921" t="s">
        <v>1528</v>
      </c>
    </row>
    <row r="33" spans="1:9" ht="48" customHeight="1">
      <c r="A33" s="919"/>
      <c r="B33" s="598" t="s">
        <v>1529</v>
      </c>
      <c r="C33" s="491"/>
      <c r="D33" s="491"/>
      <c r="E33" s="92" t="s">
        <v>1523</v>
      </c>
      <c r="F33" s="603">
        <v>450</v>
      </c>
      <c r="G33" s="603">
        <f>G34+G36</f>
        <v>427.5</v>
      </c>
      <c r="H33" s="603">
        <f>H34+H36</f>
        <v>409.5</v>
      </c>
      <c r="I33" s="922"/>
    </row>
    <row r="34" spans="1:9" ht="35.25" customHeight="1">
      <c r="A34" s="919"/>
      <c r="B34" s="538" t="s">
        <v>1530</v>
      </c>
      <c r="C34" s="491"/>
      <c r="D34" s="491"/>
      <c r="E34" s="92" t="s">
        <v>1571</v>
      </c>
      <c r="F34" s="603">
        <v>400</v>
      </c>
      <c r="G34" s="603">
        <f>G35</f>
        <v>380</v>
      </c>
      <c r="H34" s="603">
        <f>H35</f>
        <v>364</v>
      </c>
      <c r="I34" s="922"/>
    </row>
    <row r="35" spans="1:9" ht="22.5" customHeight="1">
      <c r="A35" s="919"/>
      <c r="B35" s="596" t="s">
        <v>1511</v>
      </c>
      <c r="C35" s="491">
        <v>902</v>
      </c>
      <c r="D35" s="595" t="s">
        <v>823</v>
      </c>
      <c r="E35" s="118"/>
      <c r="F35" s="603">
        <v>400</v>
      </c>
      <c r="G35" s="603">
        <v>380</v>
      </c>
      <c r="H35" s="603">
        <v>364</v>
      </c>
      <c r="I35" s="922"/>
    </row>
    <row r="36" spans="1:9" ht="16.5" customHeight="1">
      <c r="A36" s="919"/>
      <c r="B36" s="538" t="s">
        <v>1531</v>
      </c>
      <c r="C36" s="491"/>
      <c r="D36" s="491"/>
      <c r="E36" s="92" t="s">
        <v>1572</v>
      </c>
      <c r="F36" s="603">
        <v>50</v>
      </c>
      <c r="G36" s="603">
        <f>G37</f>
        <v>47.5</v>
      </c>
      <c r="H36" s="603">
        <f>H37</f>
        <v>45.5</v>
      </c>
      <c r="I36" s="922"/>
    </row>
    <row r="37" spans="1:9" ht="25.5" customHeight="1">
      <c r="A37" s="920"/>
      <c r="B37" s="596" t="s">
        <v>1511</v>
      </c>
      <c r="C37" s="491">
        <v>902</v>
      </c>
      <c r="D37" s="491">
        <v>1130</v>
      </c>
      <c r="E37" s="118"/>
      <c r="F37" s="603">
        <v>50</v>
      </c>
      <c r="G37" s="603">
        <v>47.5</v>
      </c>
      <c r="H37" s="603">
        <v>45.5</v>
      </c>
      <c r="I37" s="923"/>
    </row>
  </sheetData>
  <mergeCells count="17">
    <mergeCell ref="A4:A6"/>
    <mergeCell ref="B4:B6"/>
    <mergeCell ref="C4:E5"/>
    <mergeCell ref="F4:H4"/>
    <mergeCell ref="I4:I6"/>
    <mergeCell ref="F5:F6"/>
    <mergeCell ref="G5:G6"/>
    <mergeCell ref="H5:H6"/>
    <mergeCell ref="A32:A37"/>
    <mergeCell ref="I32:I37"/>
    <mergeCell ref="A7:A15"/>
    <mergeCell ref="B7:B15"/>
    <mergeCell ref="I7:I15"/>
    <mergeCell ref="A16:A25"/>
    <mergeCell ref="I16:I27"/>
    <mergeCell ref="A28:A31"/>
    <mergeCell ref="I28:I31"/>
  </mergeCells>
  <pageMargins left="0.70866141732283472" right="0.70866141732283472" top="0.15748031496062992" bottom="0.15748031496062992"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O64"/>
  <sheetViews>
    <sheetView topLeftCell="A35" zoomScale="70" zoomScaleNormal="70" workbookViewId="0">
      <selection activeCell="O42" sqref="O42"/>
    </sheetView>
  </sheetViews>
  <sheetFormatPr defaultRowHeight="15"/>
  <cols>
    <col min="1" max="1" width="7.140625" customWidth="1"/>
    <col min="2" max="2" width="36.42578125" customWidth="1"/>
    <col min="3" max="3" width="9.42578125" customWidth="1"/>
    <col min="4" max="4" width="8.42578125" customWidth="1"/>
    <col min="5" max="5" width="13.5703125" customWidth="1"/>
    <col min="6" max="6" width="12.42578125" customWidth="1"/>
    <col min="7" max="7" width="12.140625" customWidth="1"/>
    <col min="8" max="8" width="10.85546875" customWidth="1"/>
    <col min="9" max="9" width="31.5703125" customWidth="1"/>
    <col min="10" max="10" width="10.140625" customWidth="1"/>
    <col min="11" max="11" width="12.85546875" customWidth="1"/>
    <col min="12" max="12" width="12.42578125" customWidth="1"/>
    <col min="13" max="13" width="12.42578125" style="509" customWidth="1"/>
    <col min="14" max="14" width="12.140625" style="509" customWidth="1"/>
    <col min="15" max="15" width="12.5703125" style="509" customWidth="1"/>
  </cols>
  <sheetData>
    <row r="1" spans="1:15" ht="18.75">
      <c r="J1" s="355"/>
      <c r="K1" s="355"/>
      <c r="L1" s="355"/>
    </row>
    <row r="2" spans="1:15" ht="18.75">
      <c r="A2" s="356"/>
      <c r="B2" s="357"/>
      <c r="C2" s="356"/>
      <c r="D2" s="356"/>
      <c r="E2" s="356"/>
      <c r="F2" s="356"/>
      <c r="G2" s="356"/>
      <c r="H2" s="356"/>
      <c r="I2" s="357"/>
      <c r="J2" s="355" t="s">
        <v>1492</v>
      </c>
      <c r="K2" s="355"/>
      <c r="L2" s="355"/>
    </row>
    <row r="3" spans="1:15" ht="18.75">
      <c r="A3" s="356"/>
      <c r="B3" s="357"/>
      <c r="C3" s="356"/>
      <c r="D3" s="356"/>
      <c r="E3" s="356"/>
      <c r="F3" s="356"/>
      <c r="G3" s="356"/>
      <c r="H3" s="356"/>
      <c r="I3" s="357"/>
      <c r="J3" s="355" t="s">
        <v>49</v>
      </c>
      <c r="K3" s="355"/>
      <c r="L3" s="355"/>
    </row>
    <row r="4" spans="1:15" ht="18.75">
      <c r="A4" s="356"/>
      <c r="B4" s="357"/>
      <c r="C4" s="356"/>
      <c r="D4" s="356"/>
      <c r="E4" s="356"/>
      <c r="F4" s="356"/>
      <c r="G4" s="356"/>
      <c r="H4" s="356"/>
      <c r="I4" s="357"/>
      <c r="J4" s="355"/>
      <c r="K4" s="355"/>
      <c r="L4" s="355"/>
    </row>
    <row r="5" spans="1:15" ht="72" customHeight="1">
      <c r="A5" s="356"/>
      <c r="B5" s="956" t="s">
        <v>1243</v>
      </c>
      <c r="C5" s="957"/>
      <c r="D5" s="957"/>
      <c r="E5" s="957"/>
      <c r="F5" s="957"/>
      <c r="G5" s="957"/>
      <c r="H5" s="957"/>
      <c r="I5" s="957"/>
      <c r="J5" s="957"/>
      <c r="K5" s="957"/>
      <c r="L5" s="957"/>
    </row>
    <row r="6" spans="1:15" ht="18.75">
      <c r="A6" s="356"/>
      <c r="B6" s="357"/>
      <c r="C6" s="356"/>
      <c r="D6" s="356"/>
      <c r="E6" s="356"/>
      <c r="F6" s="356"/>
      <c r="G6" s="356"/>
      <c r="H6" s="356"/>
      <c r="I6" s="357"/>
      <c r="J6" s="355"/>
      <c r="K6" s="355"/>
      <c r="L6" s="355"/>
    </row>
    <row r="7" spans="1:15" ht="18.75">
      <c r="A7" s="356"/>
      <c r="B7" s="357"/>
      <c r="C7" s="356"/>
      <c r="D7" s="356"/>
      <c r="E7" s="356"/>
      <c r="F7" s="356"/>
      <c r="G7" s="356"/>
      <c r="H7" s="356"/>
      <c r="I7" s="357"/>
      <c r="J7" s="355"/>
      <c r="K7" s="355"/>
      <c r="L7" s="355"/>
    </row>
    <row r="8" spans="1:15" ht="15" customHeight="1">
      <c r="A8" s="943" t="s">
        <v>16</v>
      </c>
      <c r="B8" s="944" t="s">
        <v>220</v>
      </c>
      <c r="C8" s="945" t="s">
        <v>0</v>
      </c>
      <c r="D8" s="946"/>
      <c r="E8" s="947"/>
      <c r="F8" s="951" t="s">
        <v>609</v>
      </c>
      <c r="G8" s="951"/>
      <c r="H8" s="951"/>
      <c r="I8" s="952" t="s">
        <v>1</v>
      </c>
      <c r="J8" s="952" t="s">
        <v>2</v>
      </c>
      <c r="K8" s="952"/>
      <c r="L8" s="952"/>
    </row>
    <row r="9" spans="1:15" ht="25.5" customHeight="1">
      <c r="A9" s="943"/>
      <c r="B9" s="944"/>
      <c r="C9" s="948"/>
      <c r="D9" s="949"/>
      <c r="E9" s="950"/>
      <c r="F9" s="951"/>
      <c r="G9" s="951"/>
      <c r="H9" s="951"/>
      <c r="I9" s="952"/>
      <c r="J9" s="952"/>
      <c r="K9" s="952"/>
      <c r="L9" s="952"/>
    </row>
    <row r="10" spans="1:15" ht="59.25" customHeight="1">
      <c r="A10" s="943"/>
      <c r="B10" s="944"/>
      <c r="C10" s="667" t="s">
        <v>3</v>
      </c>
      <c r="D10" s="667" t="s">
        <v>4</v>
      </c>
      <c r="E10" s="667" t="s">
        <v>242</v>
      </c>
      <c r="F10" s="667" t="s">
        <v>222</v>
      </c>
      <c r="G10" s="667" t="s">
        <v>314</v>
      </c>
      <c r="H10" s="667" t="s">
        <v>425</v>
      </c>
      <c r="I10" s="952"/>
      <c r="J10" s="668" t="s">
        <v>223</v>
      </c>
      <c r="K10" s="668" t="s">
        <v>315</v>
      </c>
      <c r="L10" s="675" t="s">
        <v>427</v>
      </c>
    </row>
    <row r="11" spans="1:15" ht="18" customHeight="1">
      <c r="A11" s="646">
        <v>1</v>
      </c>
      <c r="B11" s="667">
        <v>2</v>
      </c>
      <c r="C11" s="646">
        <v>3</v>
      </c>
      <c r="D11" s="646">
        <v>4</v>
      </c>
      <c r="E11" s="646">
        <v>5</v>
      </c>
      <c r="F11" s="667">
        <v>6</v>
      </c>
      <c r="G11" s="667">
        <v>7</v>
      </c>
      <c r="H11" s="667">
        <v>8</v>
      </c>
      <c r="I11" s="668">
        <v>9</v>
      </c>
      <c r="J11" s="647">
        <v>10</v>
      </c>
      <c r="K11" s="647">
        <v>11</v>
      </c>
      <c r="L11" s="676">
        <v>12</v>
      </c>
      <c r="M11" s="958"/>
      <c r="N11" s="958"/>
      <c r="O11" s="958"/>
    </row>
    <row r="12" spans="1:15" ht="72.75" customHeight="1">
      <c r="A12" s="225"/>
      <c r="B12" s="484" t="s">
        <v>1244</v>
      </c>
      <c r="C12" s="663">
        <v>922</v>
      </c>
      <c r="D12" s="162"/>
      <c r="E12" s="162"/>
      <c r="F12" s="486">
        <f>F13+F27+F46+F58</f>
        <v>55687.400000000009</v>
      </c>
      <c r="G12" s="486">
        <f t="shared" ref="G12:H12" si="0">G13+G27+G46+G58</f>
        <v>31868.2</v>
      </c>
      <c r="H12" s="486">
        <f t="shared" si="0"/>
        <v>29219.1</v>
      </c>
      <c r="I12" s="658"/>
      <c r="J12" s="658"/>
      <c r="K12" s="658"/>
      <c r="L12" s="64"/>
      <c r="M12" s="683"/>
      <c r="N12" s="683"/>
      <c r="O12" s="683"/>
    </row>
    <row r="13" spans="1:15" ht="80.25" customHeight="1">
      <c r="A13" s="487">
        <v>1</v>
      </c>
      <c r="B13" s="488" t="s">
        <v>1245</v>
      </c>
      <c r="C13" s="663">
        <v>922</v>
      </c>
      <c r="D13" s="162" t="s">
        <v>8</v>
      </c>
      <c r="E13" s="162" t="s">
        <v>1246</v>
      </c>
      <c r="F13" s="489">
        <f>F14+F21+F23</f>
        <v>715.3</v>
      </c>
      <c r="G13" s="489">
        <f t="shared" ref="G13:H13" si="1">G14+G21+G23</f>
        <v>1023.9000000000001</v>
      </c>
      <c r="H13" s="489">
        <f t="shared" si="1"/>
        <v>660.3</v>
      </c>
      <c r="I13" s="659"/>
      <c r="J13" s="659"/>
      <c r="K13" s="659"/>
      <c r="L13" s="677"/>
    </row>
    <row r="14" spans="1:15" ht="80.25" customHeight="1">
      <c r="A14" s="490" t="s">
        <v>191</v>
      </c>
      <c r="B14" s="488" t="s">
        <v>1247</v>
      </c>
      <c r="C14" s="663">
        <v>922</v>
      </c>
      <c r="D14" s="162" t="s">
        <v>8</v>
      </c>
      <c r="E14" s="162" t="s">
        <v>1248</v>
      </c>
      <c r="F14" s="489">
        <f>F17+F19+F20</f>
        <v>459.3</v>
      </c>
      <c r="G14" s="489">
        <f t="shared" ref="G14:H14" si="2">G17+G19+G20</f>
        <v>780.7</v>
      </c>
      <c r="H14" s="489">
        <f t="shared" si="2"/>
        <v>427.3</v>
      </c>
      <c r="I14" s="669"/>
      <c r="J14" s="669"/>
      <c r="K14" s="669"/>
      <c r="L14" s="678"/>
    </row>
    <row r="15" spans="1:15" ht="105" customHeight="1">
      <c r="A15" s="490" t="s">
        <v>186</v>
      </c>
      <c r="B15" s="492" t="s">
        <v>1249</v>
      </c>
      <c r="C15" s="501">
        <v>922</v>
      </c>
      <c r="D15" s="154" t="s">
        <v>48</v>
      </c>
      <c r="E15" s="154" t="s">
        <v>1250</v>
      </c>
      <c r="F15" s="493">
        <v>0</v>
      </c>
      <c r="G15" s="493">
        <v>0</v>
      </c>
      <c r="H15" s="493">
        <v>0</v>
      </c>
      <c r="I15" s="661" t="s">
        <v>1251</v>
      </c>
      <c r="J15" s="659">
        <v>11373.6</v>
      </c>
      <c r="K15" s="659">
        <v>10705.73</v>
      </c>
      <c r="L15" s="677">
        <v>10734.65</v>
      </c>
    </row>
    <row r="16" spans="1:15" ht="123.75" customHeight="1">
      <c r="A16" s="490" t="s">
        <v>192</v>
      </c>
      <c r="B16" s="492" t="s">
        <v>1252</v>
      </c>
      <c r="C16" s="501">
        <v>922</v>
      </c>
      <c r="D16" s="154" t="s">
        <v>48</v>
      </c>
      <c r="E16" s="154" t="s">
        <v>1253</v>
      </c>
      <c r="F16" s="493">
        <v>0</v>
      </c>
      <c r="G16" s="493">
        <v>0</v>
      </c>
      <c r="H16" s="493">
        <v>0</v>
      </c>
      <c r="I16" s="659" t="s">
        <v>1254</v>
      </c>
      <c r="J16" s="659">
        <v>5</v>
      </c>
      <c r="K16" s="659">
        <v>5</v>
      </c>
      <c r="L16" s="677">
        <v>5</v>
      </c>
    </row>
    <row r="17" spans="1:15" ht="90.75" customHeight="1">
      <c r="A17" s="490" t="s">
        <v>226</v>
      </c>
      <c r="B17" s="401" t="s">
        <v>1255</v>
      </c>
      <c r="C17" s="501">
        <v>922</v>
      </c>
      <c r="D17" s="154" t="s">
        <v>48</v>
      </c>
      <c r="E17" s="154" t="s">
        <v>1256</v>
      </c>
      <c r="F17" s="494">
        <v>85</v>
      </c>
      <c r="G17" s="494">
        <v>80.7</v>
      </c>
      <c r="H17" s="494">
        <v>77.3</v>
      </c>
      <c r="I17" s="832" t="s">
        <v>1251</v>
      </c>
      <c r="J17" s="832">
        <v>11373.6</v>
      </c>
      <c r="K17" s="832">
        <v>10705.73</v>
      </c>
      <c r="L17" s="953">
        <v>10734.65</v>
      </c>
    </row>
    <row r="18" spans="1:15" ht="50.25" customHeight="1">
      <c r="A18" s="490" t="s">
        <v>229</v>
      </c>
      <c r="B18" s="401" t="s">
        <v>1257</v>
      </c>
      <c r="C18" s="501">
        <v>922</v>
      </c>
      <c r="D18" s="154" t="s">
        <v>48</v>
      </c>
      <c r="E18" s="154" t="s">
        <v>1258</v>
      </c>
      <c r="F18" s="494">
        <v>0</v>
      </c>
      <c r="G18" s="494">
        <v>0</v>
      </c>
      <c r="H18" s="494">
        <v>0</v>
      </c>
      <c r="I18" s="935"/>
      <c r="J18" s="935"/>
      <c r="K18" s="935"/>
      <c r="L18" s="954"/>
    </row>
    <row r="19" spans="1:15" ht="120">
      <c r="A19" s="490" t="s">
        <v>711</v>
      </c>
      <c r="B19" s="408" t="s">
        <v>1259</v>
      </c>
      <c r="C19" s="501">
        <v>922</v>
      </c>
      <c r="D19" s="154" t="s">
        <v>48</v>
      </c>
      <c r="E19" s="154" t="s">
        <v>1260</v>
      </c>
      <c r="F19" s="494">
        <v>350</v>
      </c>
      <c r="G19" s="494">
        <v>350</v>
      </c>
      <c r="H19" s="494">
        <v>350</v>
      </c>
      <c r="I19" s="935"/>
      <c r="J19" s="935"/>
      <c r="K19" s="935"/>
      <c r="L19" s="954"/>
    </row>
    <row r="20" spans="1:15" ht="75">
      <c r="A20" s="490" t="s">
        <v>713</v>
      </c>
      <c r="B20" s="407" t="s">
        <v>1261</v>
      </c>
      <c r="C20" s="501">
        <v>922</v>
      </c>
      <c r="D20" s="154" t="s">
        <v>48</v>
      </c>
      <c r="E20" s="154" t="s">
        <v>1262</v>
      </c>
      <c r="F20" s="494">
        <v>24.3</v>
      </c>
      <c r="G20" s="494">
        <v>350</v>
      </c>
      <c r="H20" s="494">
        <v>0</v>
      </c>
      <c r="I20" s="833"/>
      <c r="J20" s="833"/>
      <c r="K20" s="833"/>
      <c r="L20" s="955"/>
    </row>
    <row r="21" spans="1:15" ht="42.75">
      <c r="A21" s="490" t="s">
        <v>231</v>
      </c>
      <c r="B21" s="495" t="s">
        <v>1263</v>
      </c>
      <c r="C21" s="501">
        <v>922</v>
      </c>
      <c r="D21" s="162" t="s">
        <v>8</v>
      </c>
      <c r="E21" s="162" t="s">
        <v>1264</v>
      </c>
      <c r="F21" s="489">
        <f>F22</f>
        <v>160</v>
      </c>
      <c r="G21" s="489">
        <f>G22</f>
        <v>152</v>
      </c>
      <c r="H21" s="489">
        <f>H22</f>
        <v>145.6</v>
      </c>
      <c r="I21" s="659"/>
      <c r="J21" s="659"/>
      <c r="K21" s="659"/>
      <c r="L21" s="677"/>
    </row>
    <row r="22" spans="1:15" ht="60.75" customHeight="1">
      <c r="A22" s="490" t="s">
        <v>193</v>
      </c>
      <c r="B22" s="407" t="s">
        <v>1265</v>
      </c>
      <c r="C22" s="501">
        <v>922</v>
      </c>
      <c r="D22" s="154" t="s">
        <v>48</v>
      </c>
      <c r="E22" s="154" t="s">
        <v>1266</v>
      </c>
      <c r="F22" s="494">
        <v>160</v>
      </c>
      <c r="G22" s="494">
        <v>152</v>
      </c>
      <c r="H22" s="494">
        <v>145.6</v>
      </c>
      <c r="I22" s="662" t="s">
        <v>1267</v>
      </c>
      <c r="J22" s="659">
        <v>6</v>
      </c>
      <c r="K22" s="659">
        <v>3</v>
      </c>
      <c r="L22" s="677">
        <v>3</v>
      </c>
    </row>
    <row r="23" spans="1:15" ht="57">
      <c r="A23" s="490" t="s">
        <v>236</v>
      </c>
      <c r="B23" s="495" t="s">
        <v>1268</v>
      </c>
      <c r="C23" s="501">
        <v>922</v>
      </c>
      <c r="D23" s="162" t="s">
        <v>8</v>
      </c>
      <c r="E23" s="162" t="s">
        <v>1269</v>
      </c>
      <c r="F23" s="496">
        <f>F24</f>
        <v>96</v>
      </c>
      <c r="G23" s="496">
        <f t="shared" ref="G23:H23" si="3">G24</f>
        <v>91.2</v>
      </c>
      <c r="H23" s="496">
        <f t="shared" si="3"/>
        <v>87.4</v>
      </c>
      <c r="I23" s="661"/>
      <c r="J23" s="661"/>
      <c r="K23" s="661"/>
      <c r="L23" s="679"/>
    </row>
    <row r="24" spans="1:15" ht="89.25" customHeight="1">
      <c r="A24" s="490" t="s">
        <v>194</v>
      </c>
      <c r="B24" s="408" t="s">
        <v>1270</v>
      </c>
      <c r="C24" s="501">
        <v>922</v>
      </c>
      <c r="D24" s="154" t="s">
        <v>48</v>
      </c>
      <c r="E24" s="154" t="s">
        <v>1271</v>
      </c>
      <c r="F24" s="494">
        <v>96</v>
      </c>
      <c r="G24" s="494">
        <v>91.2</v>
      </c>
      <c r="H24" s="494">
        <v>87.4</v>
      </c>
      <c r="I24" s="661" t="s">
        <v>1272</v>
      </c>
      <c r="J24" s="661">
        <v>75</v>
      </c>
      <c r="K24" s="661">
        <v>75</v>
      </c>
      <c r="L24" s="679">
        <v>75</v>
      </c>
    </row>
    <row r="25" spans="1:15" ht="71.25">
      <c r="A25" s="490" t="s">
        <v>1273</v>
      </c>
      <c r="B25" s="497" t="s">
        <v>1274</v>
      </c>
      <c r="C25" s="501">
        <v>922</v>
      </c>
      <c r="D25" s="162" t="s">
        <v>48</v>
      </c>
      <c r="E25" s="162" t="s">
        <v>1275</v>
      </c>
      <c r="F25" s="486">
        <f>F26</f>
        <v>0</v>
      </c>
      <c r="G25" s="486">
        <f t="shared" ref="G25:H25" si="4">G26</f>
        <v>0</v>
      </c>
      <c r="H25" s="486">
        <f t="shared" si="4"/>
        <v>0</v>
      </c>
      <c r="I25" s="659"/>
      <c r="J25" s="659"/>
      <c r="K25" s="659"/>
      <c r="L25" s="677"/>
    </row>
    <row r="26" spans="1:15" ht="93.75" customHeight="1">
      <c r="A26" s="490" t="s">
        <v>1276</v>
      </c>
      <c r="B26" s="408" t="s">
        <v>1277</v>
      </c>
      <c r="C26" s="501">
        <v>922</v>
      </c>
      <c r="D26" s="154" t="s">
        <v>48</v>
      </c>
      <c r="E26" s="154" t="s">
        <v>1278</v>
      </c>
      <c r="F26" s="494">
        <v>0</v>
      </c>
      <c r="G26" s="494">
        <v>0</v>
      </c>
      <c r="H26" s="494">
        <v>0</v>
      </c>
      <c r="I26" s="665" t="s">
        <v>1279</v>
      </c>
      <c r="J26" s="666">
        <v>95</v>
      </c>
      <c r="K26" s="664">
        <v>95</v>
      </c>
      <c r="L26" s="680">
        <v>95</v>
      </c>
    </row>
    <row r="27" spans="1:15" ht="60" customHeight="1">
      <c r="A27" s="670" t="s">
        <v>38</v>
      </c>
      <c r="B27" s="495" t="s">
        <v>1280</v>
      </c>
      <c r="C27" s="663">
        <v>922</v>
      </c>
      <c r="D27" s="162" t="s">
        <v>8</v>
      </c>
      <c r="E27" s="162" t="s">
        <v>1281</v>
      </c>
      <c r="F27" s="489">
        <f>F28+F37+F44+F40</f>
        <v>43223.8</v>
      </c>
      <c r="G27" s="489">
        <f t="shared" ref="G27:H27" si="5">G28+G37+G44+G40</f>
        <v>18078.599999999999</v>
      </c>
      <c r="H27" s="489">
        <f t="shared" si="5"/>
        <v>18068</v>
      </c>
      <c r="I27" s="671"/>
      <c r="J27" s="498"/>
      <c r="K27" s="499"/>
      <c r="L27" s="681"/>
      <c r="M27" s="684"/>
      <c r="N27" s="684"/>
      <c r="O27" s="684"/>
    </row>
    <row r="28" spans="1:15" ht="66.75" customHeight="1">
      <c r="A28" s="670" t="s">
        <v>195</v>
      </c>
      <c r="B28" s="495" t="s">
        <v>1282</v>
      </c>
      <c r="C28" s="663">
        <v>922</v>
      </c>
      <c r="D28" s="162" t="s">
        <v>8</v>
      </c>
      <c r="E28" s="162" t="s">
        <v>1283</v>
      </c>
      <c r="F28" s="489">
        <f>F29+F30+F31+F32+F33+F34</f>
        <v>534</v>
      </c>
      <c r="G28" s="489">
        <f t="shared" ref="G28:H28" si="6">G29+G30+G31+G32+G33+G34</f>
        <v>211.79999999999998</v>
      </c>
      <c r="H28" s="489">
        <f t="shared" si="6"/>
        <v>202.9</v>
      </c>
      <c r="I28" s="671"/>
      <c r="J28" s="498"/>
      <c r="K28" s="499"/>
      <c r="L28" s="681"/>
    </row>
    <row r="29" spans="1:15" ht="74.25" customHeight="1">
      <c r="A29" s="490" t="s">
        <v>196</v>
      </c>
      <c r="B29" s="407" t="s">
        <v>1284</v>
      </c>
      <c r="C29" s="501">
        <v>922</v>
      </c>
      <c r="D29" s="154" t="s">
        <v>10</v>
      </c>
      <c r="E29" s="154" t="s">
        <v>1285</v>
      </c>
      <c r="F29" s="494">
        <v>150</v>
      </c>
      <c r="G29" s="494">
        <v>45.6</v>
      </c>
      <c r="H29" s="494">
        <v>43.7</v>
      </c>
      <c r="I29" s="832" t="s">
        <v>1286</v>
      </c>
      <c r="J29" s="832">
        <v>8202.2000000000007</v>
      </c>
      <c r="K29" s="832">
        <v>7541.9</v>
      </c>
      <c r="L29" s="953">
        <v>7366</v>
      </c>
    </row>
    <row r="30" spans="1:15" ht="160.9" customHeight="1">
      <c r="A30" s="490" t="s">
        <v>237</v>
      </c>
      <c r="B30" s="407" t="s">
        <v>1287</v>
      </c>
      <c r="C30" s="501">
        <v>922</v>
      </c>
      <c r="D30" s="154" t="s">
        <v>10</v>
      </c>
      <c r="E30" s="154" t="s">
        <v>1288</v>
      </c>
      <c r="F30" s="494">
        <v>30</v>
      </c>
      <c r="G30" s="494">
        <v>28.5</v>
      </c>
      <c r="H30" s="494">
        <v>27.3</v>
      </c>
      <c r="I30" s="935"/>
      <c r="J30" s="935"/>
      <c r="K30" s="935"/>
      <c r="L30" s="954"/>
    </row>
    <row r="31" spans="1:15" ht="48.75" customHeight="1">
      <c r="A31" s="490" t="s">
        <v>238</v>
      </c>
      <c r="B31" s="407" t="s">
        <v>1289</v>
      </c>
      <c r="C31" s="501">
        <v>922</v>
      </c>
      <c r="D31" s="154" t="s">
        <v>48</v>
      </c>
      <c r="E31" s="154" t="s">
        <v>1290</v>
      </c>
      <c r="F31" s="494">
        <v>100</v>
      </c>
      <c r="G31" s="494">
        <v>95</v>
      </c>
      <c r="H31" s="494">
        <v>91</v>
      </c>
      <c r="I31" s="935"/>
      <c r="J31" s="935"/>
      <c r="K31" s="935"/>
      <c r="L31" s="954"/>
    </row>
    <row r="32" spans="1:15" ht="82.5" customHeight="1">
      <c r="A32" s="490" t="s">
        <v>733</v>
      </c>
      <c r="B32" s="500" t="s">
        <v>1291</v>
      </c>
      <c r="C32" s="501">
        <v>922</v>
      </c>
      <c r="D32" s="154" t="s">
        <v>10</v>
      </c>
      <c r="E32" s="154" t="s">
        <v>1292</v>
      </c>
      <c r="F32" s="494">
        <v>24</v>
      </c>
      <c r="G32" s="494">
        <v>0</v>
      </c>
      <c r="H32" s="494">
        <v>0</v>
      </c>
      <c r="I32" s="935"/>
      <c r="J32" s="935"/>
      <c r="K32" s="935"/>
      <c r="L32" s="954"/>
    </row>
    <row r="33" spans="1:15" ht="54" customHeight="1">
      <c r="A33" s="490" t="s">
        <v>736</v>
      </c>
      <c r="B33" s="502" t="s">
        <v>1293</v>
      </c>
      <c r="C33" s="501">
        <v>922</v>
      </c>
      <c r="D33" s="154" t="s">
        <v>10</v>
      </c>
      <c r="E33" s="154" t="s">
        <v>1294</v>
      </c>
      <c r="F33" s="494">
        <v>200</v>
      </c>
      <c r="G33" s="494">
        <v>14.2</v>
      </c>
      <c r="H33" s="494">
        <v>13.6</v>
      </c>
      <c r="I33" s="935"/>
      <c r="J33" s="935"/>
      <c r="K33" s="935"/>
      <c r="L33" s="954"/>
    </row>
    <row r="34" spans="1:15" ht="60">
      <c r="A34" s="490" t="s">
        <v>739</v>
      </c>
      <c r="B34" s="500" t="s">
        <v>1295</v>
      </c>
      <c r="C34" s="501">
        <v>922</v>
      </c>
      <c r="D34" s="154" t="s">
        <v>10</v>
      </c>
      <c r="E34" s="154" t="s">
        <v>1296</v>
      </c>
      <c r="F34" s="494">
        <v>30</v>
      </c>
      <c r="G34" s="494">
        <v>28.5</v>
      </c>
      <c r="H34" s="494">
        <v>27.3</v>
      </c>
      <c r="I34" s="833"/>
      <c r="J34" s="833"/>
      <c r="K34" s="833"/>
      <c r="L34" s="955"/>
    </row>
    <row r="35" spans="1:15" ht="45">
      <c r="A35" s="490" t="s">
        <v>239</v>
      </c>
      <c r="B35" s="407" t="s">
        <v>1297</v>
      </c>
      <c r="C35" s="501">
        <v>922</v>
      </c>
      <c r="D35" s="154" t="s">
        <v>10</v>
      </c>
      <c r="E35" s="154" t="s">
        <v>1298</v>
      </c>
      <c r="F35" s="494">
        <v>0</v>
      </c>
      <c r="G35" s="494">
        <v>0</v>
      </c>
      <c r="H35" s="494">
        <v>0</v>
      </c>
      <c r="I35" s="659"/>
      <c r="J35" s="659"/>
      <c r="K35" s="659"/>
      <c r="L35" s="677"/>
    </row>
    <row r="36" spans="1:15" ht="96.6" customHeight="1">
      <c r="A36" s="490" t="s">
        <v>240</v>
      </c>
      <c r="B36" s="407" t="s">
        <v>1299</v>
      </c>
      <c r="C36" s="501">
        <v>922</v>
      </c>
      <c r="D36" s="154" t="s">
        <v>10</v>
      </c>
      <c r="E36" s="154" t="s">
        <v>1300</v>
      </c>
      <c r="F36" s="494">
        <v>0</v>
      </c>
      <c r="G36" s="494">
        <v>0</v>
      </c>
      <c r="H36" s="494">
        <v>0</v>
      </c>
      <c r="I36" s="659"/>
      <c r="J36" s="659"/>
      <c r="K36" s="659"/>
      <c r="L36" s="677"/>
    </row>
    <row r="37" spans="1:15" ht="57">
      <c r="A37" s="490" t="s">
        <v>287</v>
      </c>
      <c r="B37" s="495" t="s">
        <v>1301</v>
      </c>
      <c r="C37" s="663">
        <v>922</v>
      </c>
      <c r="D37" s="162" t="s">
        <v>8</v>
      </c>
      <c r="E37" s="162" t="s">
        <v>1302</v>
      </c>
      <c r="F37" s="489">
        <f>F38+F39</f>
        <v>2145</v>
      </c>
      <c r="G37" s="489">
        <f>G38+G39</f>
        <v>301.2</v>
      </c>
      <c r="H37" s="489">
        <f>H38+H39</f>
        <v>292.60000000000002</v>
      </c>
      <c r="I37" s="667"/>
      <c r="J37" s="667"/>
      <c r="K37" s="667"/>
      <c r="L37" s="682"/>
    </row>
    <row r="38" spans="1:15" ht="96.6" customHeight="1">
      <c r="A38" s="490" t="s">
        <v>288</v>
      </c>
      <c r="B38" s="503" t="s">
        <v>1303</v>
      </c>
      <c r="C38" s="501">
        <v>922</v>
      </c>
      <c r="D38" s="154" t="s">
        <v>70</v>
      </c>
      <c r="E38" s="154" t="s">
        <v>1304</v>
      </c>
      <c r="F38" s="494">
        <v>117.9</v>
      </c>
      <c r="G38" s="494">
        <v>116.5</v>
      </c>
      <c r="H38" s="494">
        <v>115.7</v>
      </c>
      <c r="I38" s="659"/>
      <c r="J38" s="659"/>
      <c r="K38" s="659"/>
      <c r="L38" s="677"/>
    </row>
    <row r="39" spans="1:15" ht="48.6" customHeight="1">
      <c r="A39" s="490" t="s">
        <v>289</v>
      </c>
      <c r="B39" s="407" t="s">
        <v>1305</v>
      </c>
      <c r="C39" s="501">
        <v>922</v>
      </c>
      <c r="D39" s="154" t="s">
        <v>10</v>
      </c>
      <c r="E39" s="154" t="s">
        <v>1306</v>
      </c>
      <c r="F39" s="494">
        <v>2027.1</v>
      </c>
      <c r="G39" s="494">
        <v>184.7</v>
      </c>
      <c r="H39" s="494">
        <v>176.9</v>
      </c>
      <c r="I39" s="659"/>
      <c r="J39" s="659"/>
      <c r="K39" s="659"/>
      <c r="L39" s="677"/>
    </row>
    <row r="40" spans="1:15" ht="60" customHeight="1">
      <c r="A40" s="672" t="s">
        <v>377</v>
      </c>
      <c r="B40" s="505" t="s">
        <v>1307</v>
      </c>
      <c r="C40" s="663">
        <v>922</v>
      </c>
      <c r="D40" s="162" t="s">
        <v>10</v>
      </c>
      <c r="E40" s="162" t="s">
        <v>1308</v>
      </c>
      <c r="F40" s="486">
        <f>F41+F42+F43</f>
        <v>40497</v>
      </c>
      <c r="G40" s="486">
        <f t="shared" ref="G40:H40" si="7">G41+G42+G43</f>
        <v>17565.599999999999</v>
      </c>
      <c r="H40" s="486">
        <f t="shared" si="7"/>
        <v>17572.5</v>
      </c>
      <c r="I40" s="668"/>
      <c r="J40" s="668"/>
      <c r="K40" s="668"/>
      <c r="L40" s="675"/>
      <c r="M40" s="685"/>
      <c r="N40" s="685"/>
      <c r="O40" s="685"/>
    </row>
    <row r="41" spans="1:15" ht="85.9" customHeight="1">
      <c r="A41" s="504" t="s">
        <v>378</v>
      </c>
      <c r="B41" s="407" t="s">
        <v>1309</v>
      </c>
      <c r="C41" s="501">
        <v>922</v>
      </c>
      <c r="D41" s="154" t="s">
        <v>10</v>
      </c>
      <c r="E41" s="154" t="s">
        <v>1310</v>
      </c>
      <c r="F41" s="494">
        <v>387.7</v>
      </c>
      <c r="G41" s="494">
        <v>417.1</v>
      </c>
      <c r="H41" s="494">
        <v>424</v>
      </c>
      <c r="I41" s="834" t="s">
        <v>1311</v>
      </c>
      <c r="J41" s="834">
        <v>15</v>
      </c>
      <c r="K41" s="834">
        <v>16</v>
      </c>
      <c r="L41" s="959">
        <v>16</v>
      </c>
      <c r="M41" s="685"/>
      <c r="N41" s="685"/>
      <c r="O41" s="685"/>
    </row>
    <row r="42" spans="1:15" ht="171.6" customHeight="1">
      <c r="A42" s="504" t="s">
        <v>1312</v>
      </c>
      <c r="B42" s="407" t="s">
        <v>1313</v>
      </c>
      <c r="C42" s="501">
        <v>922</v>
      </c>
      <c r="D42" s="154" t="s">
        <v>216</v>
      </c>
      <c r="E42" s="154" t="s">
        <v>1314</v>
      </c>
      <c r="F42" s="494">
        <v>16076.7</v>
      </c>
      <c r="G42" s="494">
        <v>17148.5</v>
      </c>
      <c r="H42" s="494">
        <v>17148.5</v>
      </c>
      <c r="I42" s="835"/>
      <c r="J42" s="835"/>
      <c r="K42" s="835"/>
      <c r="L42" s="960"/>
      <c r="M42" s="685"/>
      <c r="N42" s="685"/>
      <c r="O42" s="685"/>
    </row>
    <row r="43" spans="1:15" ht="78" customHeight="1">
      <c r="A43" s="504" t="s">
        <v>1315</v>
      </c>
      <c r="B43" s="407" t="s">
        <v>1316</v>
      </c>
      <c r="C43" s="501">
        <v>922</v>
      </c>
      <c r="D43" s="154" t="s">
        <v>70</v>
      </c>
      <c r="E43" s="154" t="s">
        <v>1317</v>
      </c>
      <c r="F43" s="494">
        <v>24032.6</v>
      </c>
      <c r="G43" s="494">
        <v>0</v>
      </c>
      <c r="H43" s="494">
        <v>0</v>
      </c>
      <c r="I43" s="660" t="s">
        <v>1318</v>
      </c>
      <c r="J43" s="658">
        <v>604.79999999999995</v>
      </c>
      <c r="K43" s="658">
        <v>0</v>
      </c>
      <c r="L43" s="64">
        <v>0</v>
      </c>
      <c r="M43" s="673"/>
      <c r="N43" s="685"/>
      <c r="O43" s="685"/>
    </row>
    <row r="44" spans="1:15" ht="84.6" customHeight="1">
      <c r="A44" s="670" t="s">
        <v>1319</v>
      </c>
      <c r="B44" s="506" t="s">
        <v>1320</v>
      </c>
      <c r="C44" s="663">
        <v>922</v>
      </c>
      <c r="D44" s="162" t="s">
        <v>8</v>
      </c>
      <c r="E44" s="162" t="s">
        <v>1321</v>
      </c>
      <c r="F44" s="489">
        <f>F45</f>
        <v>47.8</v>
      </c>
      <c r="G44" s="489">
        <f t="shared" ref="G44:H44" si="8">G45</f>
        <v>0</v>
      </c>
      <c r="H44" s="489">
        <f t="shared" si="8"/>
        <v>0</v>
      </c>
      <c r="I44" s="667"/>
      <c r="J44" s="667"/>
      <c r="K44" s="667"/>
      <c r="L44" s="682"/>
    </row>
    <row r="45" spans="1:15" ht="75">
      <c r="A45" s="490" t="s">
        <v>1322</v>
      </c>
      <c r="B45" s="500" t="s">
        <v>1323</v>
      </c>
      <c r="C45" s="501">
        <v>922</v>
      </c>
      <c r="D45" s="154" t="s">
        <v>70</v>
      </c>
      <c r="E45" s="154" t="s">
        <v>1324</v>
      </c>
      <c r="F45" s="494">
        <v>47.8</v>
      </c>
      <c r="G45" s="494">
        <v>0</v>
      </c>
      <c r="H45" s="494">
        <v>0</v>
      </c>
      <c r="I45" s="659"/>
      <c r="J45" s="659"/>
      <c r="K45" s="659"/>
      <c r="L45" s="677"/>
    </row>
    <row r="46" spans="1:15" ht="63.75" customHeight="1">
      <c r="A46" s="670" t="s">
        <v>19</v>
      </c>
      <c r="B46" s="497" t="s">
        <v>1325</v>
      </c>
      <c r="C46" s="663">
        <v>922</v>
      </c>
      <c r="D46" s="162" t="s">
        <v>8</v>
      </c>
      <c r="E46" s="162" t="s">
        <v>1326</v>
      </c>
      <c r="F46" s="489">
        <f>F47+F55</f>
        <v>625</v>
      </c>
      <c r="G46" s="489">
        <f t="shared" ref="G46:H46" si="9">G47+G55</f>
        <v>2217.5</v>
      </c>
      <c r="H46" s="489">
        <f t="shared" si="9"/>
        <v>386.7</v>
      </c>
      <c r="I46" s="667"/>
      <c r="J46" s="667"/>
      <c r="K46" s="667"/>
      <c r="L46" s="682"/>
    </row>
    <row r="47" spans="1:15" ht="42.75">
      <c r="A47" s="670" t="s">
        <v>290</v>
      </c>
      <c r="B47" s="497" t="s">
        <v>1327</v>
      </c>
      <c r="C47" s="663">
        <v>922</v>
      </c>
      <c r="D47" s="162" t="s">
        <v>8</v>
      </c>
      <c r="E47" s="162" t="s">
        <v>1328</v>
      </c>
      <c r="F47" s="489">
        <f>F48+F49+F52+F53+F54</f>
        <v>475</v>
      </c>
      <c r="G47" s="489">
        <f t="shared" ref="G47:H47" si="10">G48+G49+G52+G53+G54</f>
        <v>2170</v>
      </c>
      <c r="H47" s="489">
        <f t="shared" si="10"/>
        <v>341.2</v>
      </c>
      <c r="I47" s="667"/>
      <c r="J47" s="667"/>
      <c r="K47" s="667"/>
      <c r="L47" s="682"/>
    </row>
    <row r="48" spans="1:15" ht="60">
      <c r="A48" s="490" t="s">
        <v>241</v>
      </c>
      <c r="B48" s="503" t="s">
        <v>1329</v>
      </c>
      <c r="C48" s="501">
        <v>922</v>
      </c>
      <c r="D48" s="154" t="s">
        <v>48</v>
      </c>
      <c r="E48" s="154" t="s">
        <v>1330</v>
      </c>
      <c r="F48" s="494">
        <v>100</v>
      </c>
      <c r="G48" s="494">
        <v>0</v>
      </c>
      <c r="H48" s="494">
        <v>0</v>
      </c>
      <c r="I48" s="832" t="s">
        <v>1331</v>
      </c>
      <c r="J48" s="832">
        <v>100</v>
      </c>
      <c r="K48" s="832">
        <v>100</v>
      </c>
      <c r="L48" s="953">
        <v>100</v>
      </c>
    </row>
    <row r="49" spans="1:14" ht="82.5" customHeight="1">
      <c r="A49" s="975" t="s">
        <v>340</v>
      </c>
      <c r="B49" s="978" t="s">
        <v>1332</v>
      </c>
      <c r="C49" s="501">
        <v>922</v>
      </c>
      <c r="D49" s="981" t="s">
        <v>48</v>
      </c>
      <c r="E49" s="981" t="s">
        <v>1333</v>
      </c>
      <c r="F49" s="984">
        <v>0</v>
      </c>
      <c r="G49" s="984">
        <v>840</v>
      </c>
      <c r="H49" s="984">
        <v>0</v>
      </c>
      <c r="I49" s="961"/>
      <c r="J49" s="961"/>
      <c r="K49" s="961"/>
      <c r="L49" s="962"/>
    </row>
    <row r="50" spans="1:14" ht="82.5" customHeight="1">
      <c r="A50" s="976"/>
      <c r="B50" s="979"/>
      <c r="C50" s="501">
        <v>922</v>
      </c>
      <c r="D50" s="982"/>
      <c r="E50" s="982"/>
      <c r="F50" s="985"/>
      <c r="G50" s="985"/>
      <c r="H50" s="985"/>
      <c r="I50" s="659" t="s">
        <v>1334</v>
      </c>
      <c r="J50" s="659">
        <v>0</v>
      </c>
      <c r="K50" s="659">
        <v>103</v>
      </c>
      <c r="L50" s="677">
        <v>0</v>
      </c>
    </row>
    <row r="51" spans="1:14" ht="82.5" customHeight="1">
      <c r="A51" s="977"/>
      <c r="B51" s="980"/>
      <c r="C51" s="501">
        <v>922</v>
      </c>
      <c r="D51" s="983"/>
      <c r="E51" s="983"/>
      <c r="F51" s="986"/>
      <c r="G51" s="986"/>
      <c r="H51" s="986"/>
      <c r="I51" s="659" t="s">
        <v>1335</v>
      </c>
      <c r="J51" s="659">
        <v>1</v>
      </c>
      <c r="K51" s="659">
        <v>15</v>
      </c>
      <c r="L51" s="677">
        <v>1</v>
      </c>
    </row>
    <row r="52" spans="1:14" ht="67.150000000000006" customHeight="1">
      <c r="A52" s="490" t="s">
        <v>854</v>
      </c>
      <c r="B52" s="26" t="s">
        <v>1336</v>
      </c>
      <c r="C52" s="501">
        <v>922</v>
      </c>
      <c r="D52" s="154" t="s">
        <v>48</v>
      </c>
      <c r="E52" s="154" t="s">
        <v>1337</v>
      </c>
      <c r="F52" s="494">
        <v>125</v>
      </c>
      <c r="G52" s="494">
        <v>142.5</v>
      </c>
      <c r="H52" s="494">
        <v>113.7</v>
      </c>
      <c r="I52" s="659" t="s">
        <v>1338</v>
      </c>
      <c r="J52" s="659">
        <v>1</v>
      </c>
      <c r="K52" s="659">
        <v>1</v>
      </c>
      <c r="L52" s="677">
        <v>1</v>
      </c>
    </row>
    <row r="53" spans="1:14" ht="54" customHeight="1">
      <c r="A53" s="490" t="s">
        <v>857</v>
      </c>
      <c r="B53" s="408" t="s">
        <v>1339</v>
      </c>
      <c r="C53" s="501">
        <v>922</v>
      </c>
      <c r="D53" s="154" t="s">
        <v>48</v>
      </c>
      <c r="E53" s="154" t="s">
        <v>1340</v>
      </c>
      <c r="F53" s="494">
        <v>0</v>
      </c>
      <c r="G53" s="494">
        <v>950</v>
      </c>
      <c r="H53" s="494">
        <v>0</v>
      </c>
      <c r="I53" s="659"/>
      <c r="J53" s="659"/>
      <c r="K53" s="659"/>
      <c r="L53" s="677"/>
    </row>
    <row r="54" spans="1:14" ht="97.15" customHeight="1">
      <c r="A54" s="490" t="s">
        <v>860</v>
      </c>
      <c r="B54" s="79" t="s">
        <v>1341</v>
      </c>
      <c r="C54" s="501">
        <v>922</v>
      </c>
      <c r="D54" s="154" t="s">
        <v>48</v>
      </c>
      <c r="E54" s="154" t="s">
        <v>1342</v>
      </c>
      <c r="F54" s="494">
        <v>250</v>
      </c>
      <c r="G54" s="494">
        <v>237.5</v>
      </c>
      <c r="H54" s="494">
        <v>227.5</v>
      </c>
      <c r="I54" s="659"/>
      <c r="J54" s="659"/>
      <c r="K54" s="659"/>
      <c r="L54" s="677"/>
    </row>
    <row r="55" spans="1:14" ht="28.5">
      <c r="A55" s="670" t="s">
        <v>798</v>
      </c>
      <c r="B55" s="497" t="s">
        <v>1343</v>
      </c>
      <c r="C55" s="663">
        <v>922</v>
      </c>
      <c r="D55" s="162" t="s">
        <v>8</v>
      </c>
      <c r="E55" s="162" t="s">
        <v>1344</v>
      </c>
      <c r="F55" s="489">
        <f>F56+F57</f>
        <v>150</v>
      </c>
      <c r="G55" s="489">
        <f t="shared" ref="G55:H55" si="11">G56+G57</f>
        <v>47.5</v>
      </c>
      <c r="H55" s="489">
        <f t="shared" si="11"/>
        <v>45.5</v>
      </c>
      <c r="I55" s="667"/>
      <c r="J55" s="667"/>
      <c r="K55" s="667"/>
      <c r="L55" s="682"/>
    </row>
    <row r="56" spans="1:14" ht="60">
      <c r="A56" s="490" t="s">
        <v>800</v>
      </c>
      <c r="B56" s="408" t="s">
        <v>1345</v>
      </c>
      <c r="C56" s="501">
        <v>922</v>
      </c>
      <c r="D56" s="154" t="s">
        <v>48</v>
      </c>
      <c r="E56" s="154" t="s">
        <v>1346</v>
      </c>
      <c r="F56" s="494">
        <v>100</v>
      </c>
      <c r="G56" s="494">
        <v>0</v>
      </c>
      <c r="H56" s="494">
        <v>0</v>
      </c>
      <c r="I56" s="659" t="s">
        <v>1286</v>
      </c>
      <c r="J56" s="659">
        <v>8202.2000000000007</v>
      </c>
      <c r="K56" s="659">
        <v>7541.9</v>
      </c>
      <c r="L56" s="677">
        <v>7366</v>
      </c>
    </row>
    <row r="57" spans="1:14" ht="90">
      <c r="A57" s="490" t="s">
        <v>359</v>
      </c>
      <c r="B57" s="26" t="s">
        <v>1347</v>
      </c>
      <c r="C57" s="501">
        <v>922</v>
      </c>
      <c r="D57" s="154" t="s">
        <v>48</v>
      </c>
      <c r="E57" s="154" t="s">
        <v>1348</v>
      </c>
      <c r="F57" s="494">
        <v>50</v>
      </c>
      <c r="G57" s="494">
        <v>47.5</v>
      </c>
      <c r="H57" s="494">
        <v>45.5</v>
      </c>
      <c r="I57" s="659"/>
      <c r="J57" s="659"/>
      <c r="K57" s="659"/>
      <c r="L57" s="677"/>
    </row>
    <row r="58" spans="1:14" ht="42.75">
      <c r="A58" s="670" t="s">
        <v>21</v>
      </c>
      <c r="B58" s="497" t="s">
        <v>1349</v>
      </c>
      <c r="C58" s="663">
        <v>922</v>
      </c>
      <c r="D58" s="162" t="s">
        <v>8</v>
      </c>
      <c r="E58" s="162" t="s">
        <v>1350</v>
      </c>
      <c r="F58" s="489">
        <f>F59</f>
        <v>11123.3</v>
      </c>
      <c r="G58" s="489">
        <f t="shared" ref="G58:H58" si="12">G59</f>
        <v>10548.2</v>
      </c>
      <c r="H58" s="489">
        <f t="shared" si="12"/>
        <v>10104.1</v>
      </c>
      <c r="I58" s="963" t="s">
        <v>1351</v>
      </c>
      <c r="J58" s="966">
        <v>95</v>
      </c>
      <c r="K58" s="969">
        <v>95</v>
      </c>
      <c r="L58" s="972">
        <v>95</v>
      </c>
    </row>
    <row r="59" spans="1:14" ht="57">
      <c r="A59" s="670" t="s">
        <v>362</v>
      </c>
      <c r="B59" s="497" t="s">
        <v>1352</v>
      </c>
      <c r="C59" s="663">
        <v>922</v>
      </c>
      <c r="D59" s="162" t="s">
        <v>8</v>
      </c>
      <c r="E59" s="162" t="s">
        <v>1353</v>
      </c>
      <c r="F59" s="489">
        <f>F60</f>
        <v>11123.3</v>
      </c>
      <c r="G59" s="489">
        <f>G60</f>
        <v>10548.2</v>
      </c>
      <c r="H59" s="489">
        <f>H60</f>
        <v>10104.1</v>
      </c>
      <c r="I59" s="964"/>
      <c r="J59" s="967"/>
      <c r="K59" s="970"/>
      <c r="L59" s="973"/>
    </row>
    <row r="60" spans="1:14" ht="47.25" customHeight="1">
      <c r="A60" s="490" t="s">
        <v>363</v>
      </c>
      <c r="B60" s="471" t="s">
        <v>1354</v>
      </c>
      <c r="C60" s="501">
        <v>922</v>
      </c>
      <c r="D60" s="154" t="s">
        <v>63</v>
      </c>
      <c r="E60" s="154" t="s">
        <v>1355</v>
      </c>
      <c r="F60" s="494">
        <v>11123.3</v>
      </c>
      <c r="G60" s="494">
        <v>10548.2</v>
      </c>
      <c r="H60" s="494">
        <v>10104.1</v>
      </c>
      <c r="I60" s="965"/>
      <c r="J60" s="968"/>
      <c r="K60" s="971"/>
      <c r="L60" s="974"/>
      <c r="M60" s="507"/>
    </row>
    <row r="61" spans="1:14" ht="38.450000000000003" customHeight="1">
      <c r="A61" s="672"/>
      <c r="B61" s="508" t="s">
        <v>607</v>
      </c>
      <c r="C61" s="674"/>
      <c r="D61" s="162"/>
      <c r="E61" s="687"/>
      <c r="F61" s="486">
        <f>F13+F27+F46+F58</f>
        <v>55687.400000000009</v>
      </c>
      <c r="G61" s="486">
        <f>G13+G27+G46+G58</f>
        <v>31868.2</v>
      </c>
      <c r="H61" s="486">
        <f>H13+H27+H46+H58</f>
        <v>29219.1</v>
      </c>
      <c r="I61" s="658"/>
      <c r="J61" s="658"/>
      <c r="K61" s="658"/>
      <c r="L61" s="64"/>
    </row>
    <row r="62" spans="1:14" ht="23.25" hidden="1" customHeight="1">
      <c r="A62" s="380"/>
      <c r="B62" s="380"/>
      <c r="C62" s="380"/>
      <c r="D62" s="380"/>
      <c r="E62" s="380"/>
      <c r="F62" s="380"/>
      <c r="G62" s="380"/>
      <c r="H62" s="380"/>
      <c r="I62" s="380"/>
      <c r="J62" s="380"/>
      <c r="K62" s="380"/>
      <c r="L62" s="380"/>
      <c r="M62" s="686"/>
      <c r="N62" s="686"/>
    </row>
    <row r="63" spans="1:14" ht="15.75" hidden="1">
      <c r="A63" s="380"/>
      <c r="B63" s="380"/>
      <c r="C63" s="380"/>
      <c r="D63" s="380"/>
      <c r="E63" s="380"/>
      <c r="F63" s="510">
        <f>F61-F40</f>
        <v>15190.400000000009</v>
      </c>
      <c r="G63" s="510">
        <f>G61-G40</f>
        <v>14302.600000000002</v>
      </c>
      <c r="H63" s="510">
        <f>H61-H40</f>
        <v>11646.599999999999</v>
      </c>
      <c r="I63" s="380"/>
      <c r="J63" s="380"/>
      <c r="K63" s="380"/>
      <c r="L63" s="380"/>
      <c r="M63" s="686"/>
      <c r="N63" s="686"/>
    </row>
    <row r="64" spans="1:14" ht="17.25" hidden="1">
      <c r="A64" s="381"/>
      <c r="B64" s="381"/>
      <c r="C64" s="381"/>
      <c r="D64" s="381"/>
      <c r="E64" s="381"/>
      <c r="F64" s="511"/>
      <c r="G64" s="381"/>
      <c r="H64" s="381"/>
      <c r="I64" s="381"/>
      <c r="J64" s="381"/>
      <c r="K64" s="381"/>
      <c r="L64" s="381"/>
    </row>
  </sheetData>
  <mergeCells count="35">
    <mergeCell ref="I58:I60"/>
    <mergeCell ref="J58:J60"/>
    <mergeCell ref="K58:K60"/>
    <mergeCell ref="L58:L60"/>
    <mergeCell ref="A49:A51"/>
    <mergeCell ref="B49:B51"/>
    <mergeCell ref="D49:D51"/>
    <mergeCell ref="E49:E51"/>
    <mergeCell ref="F49:F51"/>
    <mergeCell ref="G49:G51"/>
    <mergeCell ref="H49:H51"/>
    <mergeCell ref="I41:I42"/>
    <mergeCell ref="J41:J42"/>
    <mergeCell ref="K41:K42"/>
    <mergeCell ref="L41:L42"/>
    <mergeCell ref="I48:I49"/>
    <mergeCell ref="J48:J49"/>
    <mergeCell ref="K48:K49"/>
    <mergeCell ref="L48:L49"/>
    <mergeCell ref="M11:O11"/>
    <mergeCell ref="I17:I20"/>
    <mergeCell ref="J17:J20"/>
    <mergeCell ref="K17:K20"/>
    <mergeCell ref="L17:L20"/>
    <mergeCell ref="I29:I34"/>
    <mergeCell ref="J29:J34"/>
    <mergeCell ref="K29:K34"/>
    <mergeCell ref="L29:L34"/>
    <mergeCell ref="B5:L5"/>
    <mergeCell ref="J8:L9"/>
    <mergeCell ref="A8:A10"/>
    <mergeCell ref="B8:B10"/>
    <mergeCell ref="C8:E9"/>
    <mergeCell ref="F8:H9"/>
    <mergeCell ref="I8:I10"/>
  </mergeCells>
  <pageMargins left="0.11811023622047245" right="0.11811023622047245" top="0.19685039370078741" bottom="0.39370078740157483" header="0.31496062992125984" footer="0.31496062992125984"/>
  <pageSetup paperSize="9" scale="80" orientation="landscape"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O51"/>
  <sheetViews>
    <sheetView zoomScale="70" zoomScaleNormal="70" workbookViewId="0">
      <selection activeCell="G27" sqref="G27"/>
    </sheetView>
  </sheetViews>
  <sheetFormatPr defaultColWidth="9.140625" defaultRowHeight="15"/>
  <cols>
    <col min="1" max="1" width="7.140625" style="198" customWidth="1"/>
    <col min="2" max="2" width="67.85546875" style="198" customWidth="1"/>
    <col min="3" max="3" width="10" style="198" customWidth="1"/>
    <col min="4" max="4" width="9.5703125" style="198" customWidth="1"/>
    <col min="5" max="5" width="15.85546875" style="198" customWidth="1"/>
    <col min="6" max="6" width="11.7109375" style="198" customWidth="1"/>
    <col min="7" max="7" width="12.140625" style="198" customWidth="1"/>
    <col min="8" max="8" width="10.85546875" style="198" customWidth="1"/>
    <col min="9" max="9" width="42.7109375" style="198" customWidth="1"/>
    <col min="10" max="10" width="10.140625" style="198" customWidth="1"/>
    <col min="11" max="11" width="10" style="198" customWidth="1"/>
    <col min="12" max="12" width="9.85546875" style="198" customWidth="1"/>
    <col min="13" max="16384" width="9.140625" style="198"/>
  </cols>
  <sheetData>
    <row r="1" spans="1:12" ht="18.75">
      <c r="J1" s="199"/>
      <c r="K1" s="199"/>
      <c r="L1" s="199"/>
    </row>
    <row r="2" spans="1:12" ht="18.75">
      <c r="A2" s="199"/>
      <c r="B2" s="199"/>
      <c r="C2" s="199"/>
      <c r="D2" s="199"/>
      <c r="E2" s="199"/>
      <c r="F2" s="199"/>
      <c r="G2" s="199"/>
      <c r="H2" s="199"/>
      <c r="I2" s="199"/>
      <c r="J2" s="199" t="s">
        <v>1491</v>
      </c>
      <c r="K2" s="199"/>
      <c r="L2" s="199"/>
    </row>
    <row r="3" spans="1:12" ht="22.5" customHeight="1">
      <c r="A3" s="199"/>
      <c r="B3" s="199"/>
      <c r="C3" s="199"/>
      <c r="D3" s="199"/>
      <c r="E3" s="199"/>
      <c r="F3" s="199"/>
      <c r="G3" s="199"/>
      <c r="H3" s="199"/>
      <c r="I3" s="199"/>
      <c r="J3" s="199" t="s">
        <v>49</v>
      </c>
      <c r="K3" s="199"/>
      <c r="L3" s="199"/>
    </row>
    <row r="4" spans="1:12" ht="18.75">
      <c r="A4" s="199"/>
      <c r="B4" s="199"/>
      <c r="C4" s="199"/>
      <c r="D4" s="199"/>
      <c r="E4" s="199"/>
      <c r="F4" s="199"/>
      <c r="G4" s="199"/>
      <c r="H4" s="199"/>
      <c r="I4" s="199"/>
      <c r="J4" s="199"/>
      <c r="K4" s="199"/>
      <c r="L4" s="199"/>
    </row>
    <row r="5" spans="1:12" ht="36.75" customHeight="1">
      <c r="A5" s="199"/>
      <c r="B5" s="956" t="s">
        <v>608</v>
      </c>
      <c r="C5" s="1024"/>
      <c r="D5" s="1024"/>
      <c r="E5" s="1024"/>
      <c r="F5" s="1024"/>
      <c r="G5" s="1024"/>
      <c r="H5" s="1024"/>
      <c r="I5" s="1024"/>
      <c r="J5" s="1024"/>
      <c r="K5" s="1024"/>
      <c r="L5" s="1024"/>
    </row>
    <row r="6" spans="1:12" ht="62.25" hidden="1" customHeight="1">
      <c r="A6" s="199"/>
      <c r="B6" s="199"/>
      <c r="C6" s="199"/>
      <c r="D6" s="199"/>
      <c r="E6" s="199"/>
      <c r="F6" s="199"/>
      <c r="G6" s="199"/>
      <c r="H6" s="199"/>
      <c r="I6" s="199"/>
      <c r="J6" s="199"/>
      <c r="K6" s="199"/>
      <c r="L6" s="199"/>
    </row>
    <row r="7" spans="1:12" ht="18.75">
      <c r="A7" s="199"/>
      <c r="B7" s="199"/>
      <c r="C7" s="199"/>
      <c r="D7" s="199"/>
      <c r="E7" s="199"/>
      <c r="F7" s="199"/>
      <c r="G7" s="199"/>
      <c r="H7" s="199"/>
      <c r="I7" s="199"/>
      <c r="J7" s="199"/>
      <c r="K7" s="199"/>
      <c r="L7" s="199"/>
    </row>
    <row r="8" spans="1:12" ht="15" customHeight="1">
      <c r="A8" s="1021" t="s">
        <v>16</v>
      </c>
      <c r="B8" s="1022" t="s">
        <v>220</v>
      </c>
      <c r="C8" s="1023" t="s">
        <v>0</v>
      </c>
      <c r="D8" s="1023"/>
      <c r="E8" s="1023"/>
      <c r="F8" s="1021" t="s">
        <v>609</v>
      </c>
      <c r="G8" s="1021"/>
      <c r="H8" s="1021"/>
      <c r="I8" s="1025" t="s">
        <v>1</v>
      </c>
      <c r="J8" s="1026" t="s">
        <v>2</v>
      </c>
      <c r="K8" s="1026"/>
      <c r="L8" s="1026"/>
    </row>
    <row r="9" spans="1:12" ht="21" customHeight="1">
      <c r="A9" s="1021"/>
      <c r="B9" s="1022"/>
      <c r="C9" s="1023"/>
      <c r="D9" s="1023"/>
      <c r="E9" s="1023"/>
      <c r="F9" s="1021"/>
      <c r="G9" s="1021"/>
      <c r="H9" s="1021"/>
      <c r="I9" s="1025"/>
      <c r="J9" s="1026"/>
      <c r="K9" s="1026"/>
      <c r="L9" s="1026"/>
    </row>
    <row r="10" spans="1:12" ht="87" customHeight="1">
      <c r="A10" s="1021"/>
      <c r="B10" s="1022"/>
      <c r="C10" s="200" t="s">
        <v>3</v>
      </c>
      <c r="D10" s="200" t="s">
        <v>4</v>
      </c>
      <c r="E10" s="200" t="s">
        <v>242</v>
      </c>
      <c r="F10" s="197" t="s">
        <v>222</v>
      </c>
      <c r="G10" s="197" t="s">
        <v>314</v>
      </c>
      <c r="H10" s="197" t="s">
        <v>425</v>
      </c>
      <c r="I10" s="1025"/>
      <c r="J10" s="21" t="s">
        <v>223</v>
      </c>
      <c r="K10" s="21" t="s">
        <v>315</v>
      </c>
      <c r="L10" s="21" t="s">
        <v>427</v>
      </c>
    </row>
    <row r="11" spans="1:12" ht="27.75" customHeight="1">
      <c r="A11" s="200">
        <v>1</v>
      </c>
      <c r="B11" s="197">
        <v>2</v>
      </c>
      <c r="C11" s="200">
        <v>3</v>
      </c>
      <c r="D11" s="200">
        <v>4</v>
      </c>
      <c r="E11" s="200">
        <v>5</v>
      </c>
      <c r="F11" s="197">
        <v>6</v>
      </c>
      <c r="G11" s="197">
        <v>7</v>
      </c>
      <c r="H11" s="197">
        <v>8</v>
      </c>
      <c r="I11" s="4">
        <v>9</v>
      </c>
      <c r="J11" s="21">
        <v>10</v>
      </c>
      <c r="K11" s="21">
        <v>11</v>
      </c>
      <c r="L11" s="21">
        <v>12</v>
      </c>
    </row>
    <row r="12" spans="1:12" ht="74.25" customHeight="1">
      <c r="A12" s="225"/>
      <c r="B12" s="197" t="s">
        <v>350</v>
      </c>
      <c r="C12" s="200"/>
      <c r="D12" s="201"/>
      <c r="E12" s="201"/>
      <c r="F12" s="202">
        <f>F13+F26+F41+F44</f>
        <v>803</v>
      </c>
      <c r="G12" s="202">
        <f>G13+G26+G41+G44</f>
        <v>971.9</v>
      </c>
      <c r="H12" s="202">
        <f>H13+H26+H41+H44</f>
        <v>730.69999999999993</v>
      </c>
      <c r="I12" s="7"/>
      <c r="J12" s="203"/>
      <c r="K12" s="203"/>
      <c r="L12" s="203"/>
    </row>
    <row r="13" spans="1:12" ht="84" customHeight="1">
      <c r="A13" s="226">
        <v>1</v>
      </c>
      <c r="B13" s="197" t="s">
        <v>610</v>
      </c>
      <c r="C13" s="204"/>
      <c r="D13" s="204"/>
      <c r="E13" s="205" t="s">
        <v>77</v>
      </c>
      <c r="F13" s="202">
        <f>F14+F18+F21</f>
        <v>343</v>
      </c>
      <c r="G13" s="202">
        <f t="shared" ref="G13:H13" si="0">G14+G18+G21</f>
        <v>534.9</v>
      </c>
      <c r="H13" s="202">
        <f t="shared" si="0"/>
        <v>312.09999999999997</v>
      </c>
      <c r="I13" s="204"/>
      <c r="J13" s="118"/>
      <c r="K13" s="118"/>
      <c r="L13" s="118"/>
    </row>
    <row r="14" spans="1:12" ht="93" customHeight="1">
      <c r="A14" s="227" t="s">
        <v>191</v>
      </c>
      <c r="B14" s="197" t="s">
        <v>611</v>
      </c>
      <c r="C14" s="204"/>
      <c r="D14" s="204"/>
      <c r="E14" s="207" t="s">
        <v>612</v>
      </c>
      <c r="F14" s="293">
        <f>F15+F16+F17</f>
        <v>268</v>
      </c>
      <c r="G14" s="293">
        <f>G15+G16+G17</f>
        <v>254.6</v>
      </c>
      <c r="H14" s="293">
        <f>H15+H16+H17</f>
        <v>243.89999999999998</v>
      </c>
      <c r="I14" s="1" t="s">
        <v>613</v>
      </c>
      <c r="J14" s="118">
        <v>3</v>
      </c>
      <c r="K14" s="118">
        <v>4</v>
      </c>
      <c r="L14" s="118">
        <v>4</v>
      </c>
    </row>
    <row r="15" spans="1:12" ht="101.25" customHeight="1">
      <c r="A15" s="227" t="s">
        <v>186</v>
      </c>
      <c r="B15" s="1" t="s">
        <v>614</v>
      </c>
      <c r="C15" s="207" t="s">
        <v>1084</v>
      </c>
      <c r="D15" s="207" t="s">
        <v>48</v>
      </c>
      <c r="E15" s="207" t="s">
        <v>615</v>
      </c>
      <c r="F15" s="293">
        <v>88</v>
      </c>
      <c r="G15" s="293">
        <v>83.6</v>
      </c>
      <c r="H15" s="293">
        <v>80.099999999999994</v>
      </c>
      <c r="I15" s="1011" t="s">
        <v>616</v>
      </c>
      <c r="J15" s="118">
        <v>3</v>
      </c>
      <c r="K15" s="118">
        <v>4</v>
      </c>
      <c r="L15" s="118">
        <v>4</v>
      </c>
    </row>
    <row r="16" spans="1:12" ht="105.75" customHeight="1">
      <c r="A16" s="227" t="s">
        <v>192</v>
      </c>
      <c r="B16" s="1" t="s">
        <v>617</v>
      </c>
      <c r="C16" s="207" t="s">
        <v>1084</v>
      </c>
      <c r="D16" s="207" t="s">
        <v>48</v>
      </c>
      <c r="E16" s="207" t="s">
        <v>618</v>
      </c>
      <c r="F16" s="206">
        <v>100</v>
      </c>
      <c r="G16" s="206">
        <v>95</v>
      </c>
      <c r="H16" s="206">
        <v>91</v>
      </c>
      <c r="I16" s="1012"/>
      <c r="J16" s="118">
        <v>3</v>
      </c>
      <c r="K16" s="118">
        <v>4</v>
      </c>
      <c r="L16" s="118">
        <v>4</v>
      </c>
    </row>
    <row r="17" spans="1:12" ht="31.5">
      <c r="A17" s="227" t="s">
        <v>226</v>
      </c>
      <c r="B17" s="1" t="s">
        <v>619</v>
      </c>
      <c r="C17" s="207" t="s">
        <v>1084</v>
      </c>
      <c r="D17" s="207" t="s">
        <v>48</v>
      </c>
      <c r="E17" s="207" t="s">
        <v>620</v>
      </c>
      <c r="F17" s="294">
        <v>80</v>
      </c>
      <c r="G17" s="294">
        <v>76</v>
      </c>
      <c r="H17" s="294">
        <v>72.8</v>
      </c>
      <c r="I17" s="1013"/>
      <c r="J17" s="118">
        <v>3</v>
      </c>
      <c r="K17" s="118">
        <v>4</v>
      </c>
      <c r="L17" s="118">
        <v>4</v>
      </c>
    </row>
    <row r="18" spans="1:12" ht="63">
      <c r="A18" s="227" t="s">
        <v>231</v>
      </c>
      <c r="B18" s="197" t="s">
        <v>621</v>
      </c>
      <c r="C18" s="205"/>
      <c r="D18" s="205"/>
      <c r="E18" s="205" t="s">
        <v>77</v>
      </c>
      <c r="F18" s="202">
        <f>F19</f>
        <v>75</v>
      </c>
      <c r="G18" s="202">
        <f>G19</f>
        <v>71.3</v>
      </c>
      <c r="H18" s="202">
        <f>H19</f>
        <v>68.2</v>
      </c>
      <c r="I18" s="1" t="s">
        <v>622</v>
      </c>
      <c r="J18" s="118">
        <v>42</v>
      </c>
      <c r="K18" s="118">
        <v>40</v>
      </c>
      <c r="L18" s="118">
        <v>121</v>
      </c>
    </row>
    <row r="19" spans="1:12" ht="51" customHeight="1">
      <c r="A19" s="1014" t="s">
        <v>193</v>
      </c>
      <c r="B19" s="994" t="s">
        <v>623</v>
      </c>
      <c r="C19" s="1017" t="s">
        <v>1084</v>
      </c>
      <c r="D19" s="1017" t="s">
        <v>48</v>
      </c>
      <c r="E19" s="1005" t="s">
        <v>624</v>
      </c>
      <c r="F19" s="1019">
        <v>75</v>
      </c>
      <c r="G19" s="1019">
        <v>71.3</v>
      </c>
      <c r="H19" s="1019">
        <v>68.2</v>
      </c>
      <c r="I19" s="208" t="s">
        <v>622</v>
      </c>
      <c r="J19" s="118">
        <v>42</v>
      </c>
      <c r="K19" s="118">
        <v>40</v>
      </c>
      <c r="L19" s="118">
        <v>121</v>
      </c>
    </row>
    <row r="20" spans="1:12" ht="31.5">
      <c r="A20" s="1015"/>
      <c r="B20" s="1016"/>
      <c r="C20" s="1018"/>
      <c r="D20" s="1018"/>
      <c r="E20" s="1007"/>
      <c r="F20" s="1020"/>
      <c r="G20" s="1020"/>
      <c r="H20" s="1020"/>
      <c r="I20" s="1" t="s">
        <v>625</v>
      </c>
      <c r="J20" s="118">
        <v>5.25</v>
      </c>
      <c r="K20" s="118">
        <v>7.5</v>
      </c>
      <c r="L20" s="118">
        <v>32.5</v>
      </c>
    </row>
    <row r="21" spans="1:12" ht="47.25">
      <c r="A21" s="227" t="s">
        <v>426</v>
      </c>
      <c r="B21" s="197" t="s">
        <v>626</v>
      </c>
      <c r="C21" s="207"/>
      <c r="D21" s="207"/>
      <c r="E21" s="205" t="s">
        <v>627</v>
      </c>
      <c r="F21" s="202">
        <f>F22+F23+F24+F25</f>
        <v>0</v>
      </c>
      <c r="G21" s="202">
        <f>G22+G23+G24+G25</f>
        <v>209</v>
      </c>
      <c r="H21" s="202">
        <f t="shared" ref="H21" si="1">H22+H23+H24+H25</f>
        <v>0</v>
      </c>
      <c r="I21" s="1" t="s">
        <v>628</v>
      </c>
      <c r="J21" s="118">
        <v>3</v>
      </c>
      <c r="K21" s="118">
        <v>4</v>
      </c>
      <c r="L21" s="118">
        <v>4</v>
      </c>
    </row>
    <row r="22" spans="1:12" ht="33" customHeight="1">
      <c r="A22" s="227" t="s">
        <v>194</v>
      </c>
      <c r="B22" s="1" t="s">
        <v>674</v>
      </c>
      <c r="C22" s="207" t="s">
        <v>1085</v>
      </c>
      <c r="D22" s="207" t="s">
        <v>20</v>
      </c>
      <c r="E22" s="207" t="s">
        <v>629</v>
      </c>
      <c r="F22" s="206">
        <v>0</v>
      </c>
      <c r="G22" s="206">
        <v>0</v>
      </c>
      <c r="H22" s="206">
        <v>0</v>
      </c>
      <c r="I22" s="1002" t="s">
        <v>630</v>
      </c>
      <c r="J22" s="1005">
        <v>3</v>
      </c>
      <c r="K22" s="1005">
        <v>4</v>
      </c>
      <c r="L22" s="1005">
        <v>4</v>
      </c>
    </row>
    <row r="23" spans="1:12" ht="66.75" customHeight="1">
      <c r="A23" s="227" t="s">
        <v>337</v>
      </c>
      <c r="B23" s="1" t="s">
        <v>675</v>
      </c>
      <c r="C23" s="207" t="s">
        <v>1085</v>
      </c>
      <c r="D23" s="207" t="s">
        <v>48</v>
      </c>
      <c r="E23" s="207" t="s">
        <v>631</v>
      </c>
      <c r="F23" s="206">
        <v>0</v>
      </c>
      <c r="G23" s="206">
        <v>0</v>
      </c>
      <c r="H23" s="206">
        <v>0</v>
      </c>
      <c r="I23" s="1003"/>
      <c r="J23" s="1006"/>
      <c r="K23" s="1006"/>
      <c r="L23" s="1006"/>
    </row>
    <row r="24" spans="1:12" ht="31.5">
      <c r="A24" s="227" t="s">
        <v>343</v>
      </c>
      <c r="B24" s="1" t="s">
        <v>676</v>
      </c>
      <c r="C24" s="207" t="s">
        <v>1085</v>
      </c>
      <c r="D24" s="207" t="s">
        <v>48</v>
      </c>
      <c r="E24" s="207" t="s">
        <v>632</v>
      </c>
      <c r="F24" s="206">
        <v>0</v>
      </c>
      <c r="G24" s="206">
        <v>209</v>
      </c>
      <c r="H24" s="206">
        <v>0</v>
      </c>
      <c r="I24" s="1003"/>
      <c r="J24" s="1006"/>
      <c r="K24" s="1006"/>
      <c r="L24" s="1006"/>
    </row>
    <row r="25" spans="1:12" ht="31.5">
      <c r="A25" s="227" t="s">
        <v>633</v>
      </c>
      <c r="B25" s="1" t="s">
        <v>677</v>
      </c>
      <c r="C25" s="207" t="s">
        <v>1084</v>
      </c>
      <c r="D25" s="207" t="s">
        <v>20</v>
      </c>
      <c r="E25" s="207" t="s">
        <v>634</v>
      </c>
      <c r="F25" s="206">
        <v>0</v>
      </c>
      <c r="G25" s="206">
        <v>0</v>
      </c>
      <c r="H25" s="206">
        <v>0</v>
      </c>
      <c r="I25" s="1004"/>
      <c r="J25" s="1007"/>
      <c r="K25" s="1007"/>
      <c r="L25" s="1007"/>
    </row>
    <row r="26" spans="1:12" ht="37.5" customHeight="1">
      <c r="A26" s="228" t="s">
        <v>46</v>
      </c>
      <c r="B26" s="200" t="s">
        <v>635</v>
      </c>
      <c r="C26" s="205"/>
      <c r="D26" s="205"/>
      <c r="E26" s="205" t="s">
        <v>636</v>
      </c>
      <c r="F26" s="202">
        <f>F27+F32+F36+F38</f>
        <v>310</v>
      </c>
      <c r="G26" s="202">
        <f t="shared" ref="G26:H26" si="2">G27+G32+G36+G38</f>
        <v>294.5</v>
      </c>
      <c r="H26" s="202">
        <f t="shared" si="2"/>
        <v>282.09999999999997</v>
      </c>
      <c r="I26" s="204"/>
      <c r="J26" s="118"/>
      <c r="K26" s="118"/>
      <c r="L26" s="118"/>
    </row>
    <row r="27" spans="1:12" ht="47.25" customHeight="1">
      <c r="A27" s="227" t="s">
        <v>195</v>
      </c>
      <c r="B27" s="209" t="s">
        <v>637</v>
      </c>
      <c r="C27" s="205"/>
      <c r="D27" s="205"/>
      <c r="E27" s="205" t="s">
        <v>78</v>
      </c>
      <c r="F27" s="206">
        <f>F28</f>
        <v>250</v>
      </c>
      <c r="G27" s="206">
        <f t="shared" ref="G27:H27" si="3">G28</f>
        <v>237.5</v>
      </c>
      <c r="H27" s="206">
        <f t="shared" si="3"/>
        <v>227.5</v>
      </c>
      <c r="I27" s="1008" t="s">
        <v>638</v>
      </c>
      <c r="J27" s="1005">
        <v>4</v>
      </c>
      <c r="K27" s="1005">
        <v>5</v>
      </c>
      <c r="L27" s="1005">
        <v>6</v>
      </c>
    </row>
    <row r="28" spans="1:12" ht="68.25" customHeight="1">
      <c r="A28" s="227" t="s">
        <v>196</v>
      </c>
      <c r="B28" s="456" t="s">
        <v>1126</v>
      </c>
      <c r="C28" s="207"/>
      <c r="D28" s="207"/>
      <c r="E28" s="207" t="s">
        <v>1127</v>
      </c>
      <c r="F28" s="292">
        <f>F29+F30+F31</f>
        <v>250</v>
      </c>
      <c r="G28" s="292">
        <f t="shared" ref="G28:H28" si="4">G29+G30+G31</f>
        <v>237.5</v>
      </c>
      <c r="H28" s="292">
        <f t="shared" si="4"/>
        <v>227.5</v>
      </c>
      <c r="I28" s="1009"/>
      <c r="J28" s="1006"/>
      <c r="K28" s="1006"/>
      <c r="L28" s="1006"/>
    </row>
    <row r="29" spans="1:12" ht="99.75" customHeight="1">
      <c r="A29" s="227" t="s">
        <v>639</v>
      </c>
      <c r="B29" s="1" t="s">
        <v>640</v>
      </c>
      <c r="C29" s="207" t="s">
        <v>1084</v>
      </c>
      <c r="D29" s="207" t="s">
        <v>48</v>
      </c>
      <c r="E29" s="207" t="s">
        <v>1127</v>
      </c>
      <c r="F29" s="292">
        <v>0</v>
      </c>
      <c r="G29" s="292">
        <v>0</v>
      </c>
      <c r="H29" s="292">
        <v>0</v>
      </c>
      <c r="I29" s="1009"/>
      <c r="J29" s="1006"/>
      <c r="K29" s="1006"/>
      <c r="L29" s="1006"/>
    </row>
    <row r="30" spans="1:12" ht="141.75">
      <c r="A30" s="229" t="s">
        <v>641</v>
      </c>
      <c r="B30" s="1" t="s">
        <v>642</v>
      </c>
      <c r="C30" s="207" t="s">
        <v>1084</v>
      </c>
      <c r="D30" s="207" t="s">
        <v>48</v>
      </c>
      <c r="E30" s="207" t="s">
        <v>1127</v>
      </c>
      <c r="F30" s="292">
        <v>0</v>
      </c>
      <c r="G30" s="292">
        <v>0</v>
      </c>
      <c r="H30" s="292">
        <v>0</v>
      </c>
      <c r="I30" s="1009"/>
      <c r="J30" s="1006"/>
      <c r="K30" s="1006"/>
      <c r="L30" s="1006"/>
    </row>
    <row r="31" spans="1:12" ht="31.5">
      <c r="A31" s="227" t="s">
        <v>643</v>
      </c>
      <c r="B31" s="210" t="s">
        <v>644</v>
      </c>
      <c r="C31" s="207" t="s">
        <v>1084</v>
      </c>
      <c r="D31" s="207" t="s">
        <v>48</v>
      </c>
      <c r="E31" s="207" t="s">
        <v>1127</v>
      </c>
      <c r="F31" s="206">
        <v>250</v>
      </c>
      <c r="G31" s="206">
        <v>237.5</v>
      </c>
      <c r="H31" s="206">
        <v>227.5</v>
      </c>
      <c r="I31" s="1010"/>
      <c r="J31" s="1007"/>
      <c r="K31" s="1007"/>
      <c r="L31" s="1007"/>
    </row>
    <row r="32" spans="1:12" ht="47.25">
      <c r="A32" s="227" t="s">
        <v>239</v>
      </c>
      <c r="B32" s="197" t="s">
        <v>645</v>
      </c>
      <c r="C32" s="205"/>
      <c r="D32" s="205"/>
      <c r="E32" s="205" t="s">
        <v>646</v>
      </c>
      <c r="F32" s="202">
        <f>F33+F34+F35</f>
        <v>20</v>
      </c>
      <c r="G32" s="202">
        <f t="shared" ref="G32:H32" si="5">G33+G34+G35</f>
        <v>19</v>
      </c>
      <c r="H32" s="202">
        <f t="shared" si="5"/>
        <v>18.2</v>
      </c>
      <c r="I32" s="994" t="s">
        <v>647</v>
      </c>
      <c r="J32" s="990">
        <v>8</v>
      </c>
      <c r="K32" s="990">
        <v>8</v>
      </c>
      <c r="L32" s="990">
        <v>8</v>
      </c>
    </row>
    <row r="33" spans="1:15" ht="31.5">
      <c r="A33" s="227" t="s">
        <v>240</v>
      </c>
      <c r="B33" s="1" t="s">
        <v>678</v>
      </c>
      <c r="C33" s="207" t="s">
        <v>1084</v>
      </c>
      <c r="D33" s="207" t="s">
        <v>48</v>
      </c>
      <c r="E33" s="207" t="s">
        <v>648</v>
      </c>
      <c r="F33" s="206">
        <v>20</v>
      </c>
      <c r="G33" s="206">
        <v>19</v>
      </c>
      <c r="H33" s="206">
        <v>18.2</v>
      </c>
      <c r="I33" s="998"/>
      <c r="J33" s="991"/>
      <c r="K33" s="991"/>
      <c r="L33" s="991"/>
    </row>
    <row r="34" spans="1:15" ht="31.5">
      <c r="A34" s="227" t="s">
        <v>649</v>
      </c>
      <c r="B34" s="1" t="s">
        <v>679</v>
      </c>
      <c r="C34" s="207" t="s">
        <v>1084</v>
      </c>
      <c r="D34" s="207" t="s">
        <v>48</v>
      </c>
      <c r="E34" s="207" t="s">
        <v>650</v>
      </c>
      <c r="F34" s="206">
        <v>0</v>
      </c>
      <c r="G34" s="206">
        <v>0</v>
      </c>
      <c r="H34" s="206">
        <v>0</v>
      </c>
      <c r="I34" s="998"/>
      <c r="J34" s="1000" t="s">
        <v>651</v>
      </c>
      <c r="K34" s="1000" t="s">
        <v>651</v>
      </c>
      <c r="L34" s="1000" t="s">
        <v>651</v>
      </c>
    </row>
    <row r="35" spans="1:15" ht="67.5" customHeight="1">
      <c r="A35" s="227" t="s">
        <v>652</v>
      </c>
      <c r="B35" s="1" t="s">
        <v>680</v>
      </c>
      <c r="C35" s="207" t="s">
        <v>1084</v>
      </c>
      <c r="D35" s="207" t="s">
        <v>48</v>
      </c>
      <c r="E35" s="207" t="s">
        <v>653</v>
      </c>
      <c r="F35" s="206">
        <v>0</v>
      </c>
      <c r="G35" s="206">
        <v>0</v>
      </c>
      <c r="H35" s="206">
        <v>0</v>
      </c>
      <c r="I35" s="999"/>
      <c r="J35" s="1001"/>
      <c r="K35" s="1001"/>
      <c r="L35" s="1001"/>
    </row>
    <row r="36" spans="1:15" ht="31.5" hidden="1">
      <c r="A36" s="227" t="s">
        <v>287</v>
      </c>
      <c r="B36" s="209" t="s">
        <v>654</v>
      </c>
      <c r="C36" s="207"/>
      <c r="D36" s="205"/>
      <c r="E36" s="205" t="s">
        <v>655</v>
      </c>
      <c r="F36" s="206">
        <f>F37</f>
        <v>0</v>
      </c>
      <c r="G36" s="206">
        <f t="shared" ref="G36:H36" si="6">G37</f>
        <v>0</v>
      </c>
      <c r="H36" s="206">
        <f t="shared" si="6"/>
        <v>0</v>
      </c>
      <c r="I36" s="994"/>
      <c r="J36" s="990">
        <v>0</v>
      </c>
      <c r="K36" s="990">
        <v>0</v>
      </c>
      <c r="L36" s="990">
        <v>0</v>
      </c>
    </row>
    <row r="37" spans="1:15" ht="21" hidden="1" customHeight="1">
      <c r="A37" s="227" t="s">
        <v>288</v>
      </c>
      <c r="B37" s="210" t="s">
        <v>656</v>
      </c>
      <c r="C37" s="207" t="s">
        <v>376</v>
      </c>
      <c r="D37" s="207" t="s">
        <v>48</v>
      </c>
      <c r="E37" s="207" t="s">
        <v>657</v>
      </c>
      <c r="F37" s="206">
        <v>0</v>
      </c>
      <c r="G37" s="206">
        <v>0</v>
      </c>
      <c r="H37" s="206">
        <v>0</v>
      </c>
      <c r="I37" s="995"/>
      <c r="J37" s="991"/>
      <c r="K37" s="991"/>
      <c r="L37" s="991"/>
    </row>
    <row r="38" spans="1:15" ht="31.5">
      <c r="A38" s="227" t="s">
        <v>287</v>
      </c>
      <c r="B38" s="209" t="s">
        <v>658</v>
      </c>
      <c r="C38" s="205"/>
      <c r="D38" s="205"/>
      <c r="E38" s="205" t="s">
        <v>659</v>
      </c>
      <c r="F38" s="202">
        <v>40</v>
      </c>
      <c r="G38" s="202">
        <f>G39+G40</f>
        <v>38</v>
      </c>
      <c r="H38" s="202">
        <f>H39+H40</f>
        <v>36.4</v>
      </c>
      <c r="I38" s="994" t="s">
        <v>660</v>
      </c>
      <c r="J38" s="990">
        <v>2</v>
      </c>
      <c r="K38" s="990">
        <v>2</v>
      </c>
      <c r="L38" s="990">
        <v>2</v>
      </c>
    </row>
    <row r="39" spans="1:15" ht="31.5">
      <c r="A39" s="227" t="s">
        <v>288</v>
      </c>
      <c r="B39" s="210" t="s">
        <v>681</v>
      </c>
      <c r="C39" s="211" t="s">
        <v>945</v>
      </c>
      <c r="D39" s="207" t="s">
        <v>48</v>
      </c>
      <c r="E39" s="207" t="s">
        <v>661</v>
      </c>
      <c r="F39" s="206">
        <v>20</v>
      </c>
      <c r="G39" s="206">
        <v>19</v>
      </c>
      <c r="H39" s="206">
        <v>18.2</v>
      </c>
      <c r="I39" s="996"/>
      <c r="J39" s="997"/>
      <c r="K39" s="997"/>
      <c r="L39" s="997"/>
    </row>
    <row r="40" spans="1:15" ht="31.5">
      <c r="A40" s="227" t="s">
        <v>289</v>
      </c>
      <c r="B40" s="210" t="s">
        <v>682</v>
      </c>
      <c r="C40" s="211" t="s">
        <v>946</v>
      </c>
      <c r="D40" s="207" t="s">
        <v>48</v>
      </c>
      <c r="E40" s="207" t="s">
        <v>662</v>
      </c>
      <c r="F40" s="206">
        <v>20</v>
      </c>
      <c r="G40" s="206">
        <v>19</v>
      </c>
      <c r="H40" s="206">
        <v>18.2</v>
      </c>
      <c r="I40" s="995"/>
      <c r="J40" s="991"/>
      <c r="K40" s="991"/>
      <c r="L40" s="991"/>
    </row>
    <row r="41" spans="1:15" ht="15.75">
      <c r="A41" s="227" t="s">
        <v>19</v>
      </c>
      <c r="B41" s="212" t="s">
        <v>663</v>
      </c>
      <c r="C41" s="205"/>
      <c r="D41" s="205"/>
      <c r="E41" s="205" t="s">
        <v>278</v>
      </c>
      <c r="F41" s="206">
        <f>F42</f>
        <v>150</v>
      </c>
      <c r="G41" s="206">
        <f t="shared" ref="G41:H42" si="7">G42</f>
        <v>142.5</v>
      </c>
      <c r="H41" s="206">
        <f t="shared" si="7"/>
        <v>136.5</v>
      </c>
      <c r="I41" s="1"/>
      <c r="J41" s="118"/>
      <c r="K41" s="118"/>
      <c r="L41" s="118"/>
    </row>
    <row r="42" spans="1:15" ht="63">
      <c r="A42" s="227" t="s">
        <v>290</v>
      </c>
      <c r="B42" s="210" t="s">
        <v>664</v>
      </c>
      <c r="C42" s="205"/>
      <c r="D42" s="205"/>
      <c r="E42" s="205" t="s">
        <v>277</v>
      </c>
      <c r="F42" s="206">
        <f>F43</f>
        <v>150</v>
      </c>
      <c r="G42" s="206">
        <f t="shared" si="7"/>
        <v>142.5</v>
      </c>
      <c r="H42" s="206">
        <f t="shared" si="7"/>
        <v>136.5</v>
      </c>
      <c r="I42" s="989" t="s">
        <v>665</v>
      </c>
      <c r="J42" s="990">
        <v>42</v>
      </c>
      <c r="K42" s="990">
        <v>42</v>
      </c>
      <c r="L42" s="990">
        <v>42</v>
      </c>
    </row>
    <row r="43" spans="1:15" ht="47.25">
      <c r="A43" s="227" t="s">
        <v>241</v>
      </c>
      <c r="B43" s="210" t="s">
        <v>683</v>
      </c>
      <c r="C43" s="207" t="s">
        <v>1084</v>
      </c>
      <c r="D43" s="207" t="s">
        <v>48</v>
      </c>
      <c r="E43" s="207" t="s">
        <v>666</v>
      </c>
      <c r="F43" s="206">
        <v>150</v>
      </c>
      <c r="G43" s="206">
        <v>142.5</v>
      </c>
      <c r="H43" s="206">
        <v>136.5</v>
      </c>
      <c r="I43" s="989"/>
      <c r="J43" s="991"/>
      <c r="K43" s="991"/>
      <c r="L43" s="991"/>
    </row>
    <row r="44" spans="1:15" ht="15.75">
      <c r="A44" s="227" t="s">
        <v>21</v>
      </c>
      <c r="B44" s="212" t="s">
        <v>667</v>
      </c>
      <c r="C44" s="207"/>
      <c r="D44" s="207"/>
      <c r="E44" s="205" t="s">
        <v>668</v>
      </c>
      <c r="F44" s="206">
        <f>F45</f>
        <v>0</v>
      </c>
      <c r="G44" s="206">
        <v>0</v>
      </c>
      <c r="H44" s="206">
        <v>0</v>
      </c>
      <c r="I44" s="1"/>
      <c r="J44" s="118"/>
      <c r="K44" s="118"/>
      <c r="L44" s="118"/>
    </row>
    <row r="45" spans="1:15" ht="31.5">
      <c r="A45" s="227" t="s">
        <v>362</v>
      </c>
      <c r="B45" s="210" t="s">
        <v>669</v>
      </c>
      <c r="C45" s="207"/>
      <c r="D45" s="207"/>
      <c r="E45" s="205" t="s">
        <v>670</v>
      </c>
      <c r="F45" s="206">
        <f>F46</f>
        <v>0</v>
      </c>
      <c r="G45" s="206">
        <v>0</v>
      </c>
      <c r="H45" s="206">
        <v>0</v>
      </c>
      <c r="I45" s="989" t="s">
        <v>671</v>
      </c>
      <c r="J45" s="992">
        <v>0</v>
      </c>
      <c r="K45" s="990">
        <v>0</v>
      </c>
      <c r="L45" s="990">
        <v>0</v>
      </c>
    </row>
    <row r="46" spans="1:15" ht="47.25">
      <c r="A46" s="227" t="s">
        <v>363</v>
      </c>
      <c r="B46" s="210" t="s">
        <v>684</v>
      </c>
      <c r="C46" s="207" t="s">
        <v>1084</v>
      </c>
      <c r="D46" s="207" t="s">
        <v>672</v>
      </c>
      <c r="E46" s="207" t="s">
        <v>673</v>
      </c>
      <c r="F46" s="206">
        <v>0</v>
      </c>
      <c r="G46" s="206">
        <v>0</v>
      </c>
      <c r="H46" s="206">
        <v>0</v>
      </c>
      <c r="I46" s="779"/>
      <c r="J46" s="993"/>
      <c r="K46" s="991"/>
      <c r="L46" s="991"/>
    </row>
    <row r="47" spans="1:15" ht="15.75">
      <c r="A47" s="213"/>
      <c r="B47" s="987"/>
      <c r="C47" s="987"/>
      <c r="D47" s="987"/>
      <c r="E47" s="987"/>
      <c r="F47" s="987"/>
      <c r="G47" s="987"/>
      <c r="H47" s="987"/>
      <c r="I47" s="987"/>
      <c r="J47" s="987"/>
      <c r="K47" s="987"/>
      <c r="L47" s="987"/>
      <c r="M47" s="987"/>
      <c r="N47" s="987"/>
      <c r="O47" s="988"/>
    </row>
    <row r="48" spans="1:15" ht="15.75">
      <c r="A48" s="213"/>
      <c r="B48" s="213"/>
      <c r="C48" s="213"/>
      <c r="D48" s="213"/>
      <c r="E48" s="213"/>
      <c r="F48" s="213"/>
      <c r="G48" s="213"/>
      <c r="H48" s="213"/>
      <c r="I48" s="213"/>
      <c r="J48" s="213"/>
      <c r="K48" s="213"/>
      <c r="L48" s="213"/>
      <c r="M48" s="213"/>
      <c r="N48" s="213"/>
    </row>
    <row r="49" spans="1:14" ht="15.75">
      <c r="A49" s="213"/>
      <c r="B49" s="213"/>
      <c r="C49" s="213"/>
      <c r="D49" s="213"/>
      <c r="E49" s="213"/>
      <c r="F49" s="213"/>
      <c r="G49" s="213"/>
      <c r="H49" s="213"/>
      <c r="I49" s="213"/>
      <c r="J49" s="213"/>
      <c r="K49" s="213"/>
      <c r="L49" s="213"/>
      <c r="M49" s="213"/>
      <c r="N49" s="213"/>
    </row>
    <row r="50" spans="1:14" ht="15.75">
      <c r="A50" s="213"/>
      <c r="B50" s="213"/>
      <c r="C50" s="213"/>
      <c r="D50" s="213"/>
      <c r="E50" s="213"/>
      <c r="F50" s="213"/>
      <c r="G50" s="213"/>
      <c r="H50" s="213"/>
      <c r="I50" s="213"/>
      <c r="J50" s="213"/>
      <c r="K50" s="213"/>
      <c r="L50" s="213"/>
      <c r="M50" s="213"/>
      <c r="N50" s="213"/>
    </row>
    <row r="51" spans="1:14" ht="17.25">
      <c r="A51" s="214"/>
      <c r="B51" s="214"/>
      <c r="C51" s="214"/>
      <c r="D51" s="214"/>
      <c r="E51" s="214"/>
      <c r="F51" s="214"/>
      <c r="G51" s="214"/>
      <c r="H51" s="214"/>
      <c r="I51" s="214"/>
      <c r="J51" s="214"/>
      <c r="K51" s="214"/>
      <c r="L51" s="214"/>
    </row>
  </sheetData>
  <mergeCells count="48">
    <mergeCell ref="A8:A10"/>
    <mergeCell ref="B8:B10"/>
    <mergeCell ref="C8:E9"/>
    <mergeCell ref="B5:L5"/>
    <mergeCell ref="F8:H9"/>
    <mergeCell ref="I8:I10"/>
    <mergeCell ref="J8:L9"/>
    <mergeCell ref="I15:I17"/>
    <mergeCell ref="A19:A20"/>
    <mergeCell ref="B19:B20"/>
    <mergeCell ref="C19:C20"/>
    <mergeCell ref="D19:D20"/>
    <mergeCell ref="E19:E20"/>
    <mergeCell ref="F19:F20"/>
    <mergeCell ref="G19:G20"/>
    <mergeCell ref="H19:H20"/>
    <mergeCell ref="I22:I25"/>
    <mergeCell ref="J22:J25"/>
    <mergeCell ref="K22:K25"/>
    <mergeCell ref="L22:L25"/>
    <mergeCell ref="I27:I31"/>
    <mergeCell ref="J27:J31"/>
    <mergeCell ref="K27:K31"/>
    <mergeCell ref="L27:L31"/>
    <mergeCell ref="I32:I35"/>
    <mergeCell ref="J32:J33"/>
    <mergeCell ref="K32:K33"/>
    <mergeCell ref="L32:L33"/>
    <mergeCell ref="J34:J35"/>
    <mergeCell ref="K34:K35"/>
    <mergeCell ref="L34:L35"/>
    <mergeCell ref="I36:I37"/>
    <mergeCell ref="J36:J37"/>
    <mergeCell ref="K36:K37"/>
    <mergeCell ref="L36:L37"/>
    <mergeCell ref="I38:I40"/>
    <mergeCell ref="J38:J40"/>
    <mergeCell ref="K38:K40"/>
    <mergeCell ref="L38:L40"/>
    <mergeCell ref="B47:O47"/>
    <mergeCell ref="I42:I43"/>
    <mergeCell ref="J42:J43"/>
    <mergeCell ref="K42:K43"/>
    <mergeCell ref="L42:L43"/>
    <mergeCell ref="I45:I46"/>
    <mergeCell ref="J45:J46"/>
    <mergeCell ref="K45:K46"/>
    <mergeCell ref="L45:L46"/>
  </mergeCells>
  <pageMargins left="0.11811023622047245" right="0" top="0.15748031496062992" bottom="0.15748031496062992"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sheetPr>
    <tabColor rgb="FF92D050"/>
  </sheetPr>
  <dimension ref="A1:P93"/>
  <sheetViews>
    <sheetView zoomScale="80" zoomScaleNormal="80" workbookViewId="0">
      <selection activeCell="M25" sqref="M25"/>
    </sheetView>
  </sheetViews>
  <sheetFormatPr defaultColWidth="9.140625" defaultRowHeight="12.75"/>
  <cols>
    <col min="1" max="1" width="7.140625" style="295" customWidth="1"/>
    <col min="2" max="2" width="50.7109375" style="295" customWidth="1"/>
    <col min="3" max="3" width="8.28515625" style="349" customWidth="1"/>
    <col min="4" max="4" width="9.85546875" style="349" customWidth="1"/>
    <col min="5" max="5" width="14.7109375" style="349" customWidth="1"/>
    <col min="6" max="6" width="9.140625" style="295" hidden="1" customWidth="1"/>
    <col min="7" max="7" width="11.28515625" style="295" customWidth="1"/>
    <col min="8" max="8" width="9" style="295" hidden="1" customWidth="1"/>
    <col min="9" max="9" width="9.5703125" style="295" hidden="1" customWidth="1"/>
    <col min="10" max="10" width="2.28515625" style="350" hidden="1" customWidth="1"/>
    <col min="11" max="11" width="11.5703125" style="295" customWidth="1"/>
    <col min="12" max="12" width="11.28515625" style="295" customWidth="1"/>
    <col min="13" max="13" width="34.5703125" style="351" customWidth="1"/>
    <col min="14" max="14" width="7.85546875" style="295" customWidth="1"/>
    <col min="15" max="15" width="9.140625" style="295" customWidth="1"/>
    <col min="16" max="16" width="9" style="295" customWidth="1"/>
    <col min="17" max="16384" width="9.140625" style="295"/>
  </cols>
  <sheetData>
    <row r="1" spans="1:16" ht="15">
      <c r="A1" s="13"/>
      <c r="B1" s="14"/>
      <c r="C1" s="15"/>
      <c r="D1" s="15"/>
      <c r="E1" s="15"/>
      <c r="F1" s="13"/>
      <c r="G1" s="13"/>
      <c r="H1" s="13"/>
      <c r="I1" s="13"/>
      <c r="J1" s="16"/>
      <c r="K1" s="13"/>
      <c r="L1" s="13"/>
      <c r="M1" s="17"/>
      <c r="N1" s="51" t="s">
        <v>1227</v>
      </c>
      <c r="O1" s="13"/>
      <c r="P1" s="13"/>
    </row>
    <row r="2" spans="1:16" ht="15">
      <c r="A2" s="13"/>
      <c r="B2" s="14"/>
      <c r="C2" s="15"/>
      <c r="D2" s="15"/>
      <c r="E2" s="15"/>
      <c r="F2" s="13"/>
      <c r="G2" s="13"/>
      <c r="H2" s="13"/>
      <c r="I2" s="13"/>
      <c r="J2" s="16"/>
      <c r="K2" s="13"/>
      <c r="L2" s="13"/>
      <c r="M2" s="17"/>
      <c r="N2" s="51" t="s">
        <v>49</v>
      </c>
      <c r="O2" s="13"/>
      <c r="P2" s="13"/>
    </row>
    <row r="3" spans="1:16" ht="12.75" customHeight="1">
      <c r="A3" s="817" t="s">
        <v>15</v>
      </c>
      <c r="B3" s="817"/>
      <c r="C3" s="817"/>
      <c r="D3" s="817"/>
      <c r="E3" s="817"/>
      <c r="F3" s="817"/>
      <c r="G3" s="817"/>
      <c r="H3" s="817"/>
      <c r="I3" s="817"/>
      <c r="J3" s="817"/>
      <c r="K3" s="817"/>
      <c r="L3" s="817"/>
      <c r="M3" s="817"/>
      <c r="N3" s="817"/>
      <c r="O3" s="817"/>
      <c r="P3" s="817"/>
    </row>
    <row r="4" spans="1:16" ht="15.75" customHeight="1">
      <c r="A4" s="868" t="s">
        <v>1226</v>
      </c>
      <c r="B4" s="868"/>
      <c r="C4" s="868"/>
      <c r="D4" s="868"/>
      <c r="E4" s="868"/>
      <c r="F4" s="868"/>
      <c r="G4" s="868"/>
      <c r="H4" s="868"/>
      <c r="I4" s="868"/>
      <c r="J4" s="868"/>
      <c r="K4" s="868"/>
      <c r="L4" s="868"/>
      <c r="M4" s="868"/>
      <c r="N4" s="868"/>
      <c r="O4" s="868"/>
      <c r="P4" s="868"/>
    </row>
    <row r="6" spans="1:16" customFormat="1" ht="15">
      <c r="A6" s="869" t="s">
        <v>16</v>
      </c>
      <c r="B6" s="750" t="s">
        <v>220</v>
      </c>
      <c r="C6" s="1051" t="s">
        <v>0</v>
      </c>
      <c r="D6" s="1051"/>
      <c r="E6" s="1051"/>
      <c r="F6" s="754" t="s">
        <v>221</v>
      </c>
      <c r="G6" s="754"/>
      <c r="H6" s="754"/>
      <c r="I6" s="754"/>
      <c r="J6" s="754"/>
      <c r="K6" s="754"/>
      <c r="L6" s="754"/>
      <c r="M6" s="1052" t="s">
        <v>1</v>
      </c>
      <c r="N6" s="952" t="s">
        <v>2</v>
      </c>
      <c r="O6" s="952"/>
      <c r="P6" s="952"/>
    </row>
    <row r="7" spans="1:16" customFormat="1" ht="21" customHeight="1">
      <c r="A7" s="870"/>
      <c r="B7" s="751"/>
      <c r="C7" s="1051"/>
      <c r="D7" s="1051"/>
      <c r="E7" s="1051"/>
      <c r="F7" s="754"/>
      <c r="G7" s="754"/>
      <c r="H7" s="754"/>
      <c r="I7" s="754"/>
      <c r="J7" s="754"/>
      <c r="K7" s="754"/>
      <c r="L7" s="754"/>
      <c r="M7" s="1052"/>
      <c r="N7" s="952"/>
      <c r="O7" s="952"/>
      <c r="P7" s="952"/>
    </row>
    <row r="8" spans="1:16" customFormat="1" ht="37.5" customHeight="1">
      <c r="A8" s="871"/>
      <c r="B8" s="752"/>
      <c r="C8" s="95" t="s">
        <v>3</v>
      </c>
      <c r="D8" s="95" t="s">
        <v>4</v>
      </c>
      <c r="E8" s="95" t="s">
        <v>5</v>
      </c>
      <c r="F8" s="98" t="s">
        <v>412</v>
      </c>
      <c r="G8" s="98" t="s">
        <v>222</v>
      </c>
      <c r="H8" s="98" t="s">
        <v>6</v>
      </c>
      <c r="I8" s="98" t="s">
        <v>413</v>
      </c>
      <c r="J8" s="27" t="s">
        <v>17</v>
      </c>
      <c r="K8" s="98" t="s">
        <v>314</v>
      </c>
      <c r="L8" s="98" t="s">
        <v>425</v>
      </c>
      <c r="M8" s="1052"/>
      <c r="N8" s="291" t="s">
        <v>219</v>
      </c>
      <c r="O8" s="291" t="s">
        <v>373</v>
      </c>
      <c r="P8" s="291" t="s">
        <v>414</v>
      </c>
    </row>
    <row r="9" spans="1:16" customFormat="1" ht="18.75" customHeight="1">
      <c r="A9" s="95">
        <v>1</v>
      </c>
      <c r="B9" s="98">
        <v>2</v>
      </c>
      <c r="C9" s="95">
        <v>3</v>
      </c>
      <c r="D9" s="95">
        <v>4</v>
      </c>
      <c r="E9" s="95">
        <v>5</v>
      </c>
      <c r="F9" s="98">
        <v>6</v>
      </c>
      <c r="G9" s="98">
        <v>6</v>
      </c>
      <c r="H9" s="98" t="s">
        <v>190</v>
      </c>
      <c r="I9" s="98">
        <v>9</v>
      </c>
      <c r="J9" s="27">
        <v>10</v>
      </c>
      <c r="K9" s="98">
        <v>7</v>
      </c>
      <c r="L9" s="98">
        <v>8</v>
      </c>
      <c r="M9" s="97">
        <v>9</v>
      </c>
      <c r="N9" s="290">
        <v>10</v>
      </c>
      <c r="O9" s="290">
        <v>11</v>
      </c>
      <c r="P9" s="290">
        <v>12</v>
      </c>
    </row>
    <row r="10" spans="1:16" ht="46.5" customHeight="1">
      <c r="A10" s="623">
        <v>1</v>
      </c>
      <c r="B10" s="297" t="s">
        <v>1560</v>
      </c>
      <c r="C10" s="298" t="s">
        <v>1096</v>
      </c>
      <c r="D10" s="298"/>
      <c r="E10" s="299" t="s">
        <v>1537</v>
      </c>
      <c r="F10" s="300">
        <v>400</v>
      </c>
      <c r="G10" s="301">
        <f t="shared" ref="G10" si="0">G11</f>
        <v>1967.5</v>
      </c>
      <c r="H10" s="302">
        <f t="shared" ref="H10:H11" si="1">G10-F10</f>
        <v>1567.5</v>
      </c>
      <c r="I10" s="302">
        <f t="shared" ref="I10:I11" si="2">G10/F10*100</f>
        <v>491.875</v>
      </c>
      <c r="J10" s="1039" t="s">
        <v>948</v>
      </c>
      <c r="K10" s="301">
        <f t="shared" ref="K10:L10" si="3">K11</f>
        <v>1574</v>
      </c>
      <c r="L10" s="301">
        <f t="shared" si="3"/>
        <v>6090.4</v>
      </c>
      <c r="M10" s="303"/>
      <c r="N10" s="304"/>
      <c r="O10" s="304"/>
      <c r="P10" s="304"/>
    </row>
    <row r="11" spans="1:16" ht="45">
      <c r="A11" s="623" t="s">
        <v>18</v>
      </c>
      <c r="B11" s="305" t="s">
        <v>949</v>
      </c>
      <c r="C11" s="299" t="s">
        <v>1098</v>
      </c>
      <c r="D11" s="299" t="s">
        <v>30</v>
      </c>
      <c r="E11" s="299" t="s">
        <v>1538</v>
      </c>
      <c r="F11" s="300">
        <v>400</v>
      </c>
      <c r="G11" s="306">
        <f t="shared" ref="G11" si="4">G14+G15+G16</f>
        <v>1967.5</v>
      </c>
      <c r="H11" s="302">
        <f t="shared" si="1"/>
        <v>1567.5</v>
      </c>
      <c r="I11" s="302">
        <f t="shared" si="2"/>
        <v>491.875</v>
      </c>
      <c r="J11" s="1040"/>
      <c r="K11" s="306">
        <f t="shared" ref="K11:L11" si="5">K14+K15+K16</f>
        <v>1574</v>
      </c>
      <c r="L11" s="306">
        <f t="shared" si="5"/>
        <v>6090.4</v>
      </c>
      <c r="M11" s="303"/>
      <c r="N11" s="304"/>
      <c r="O11" s="304"/>
      <c r="P11" s="304"/>
    </row>
    <row r="12" spans="1:16" ht="60">
      <c r="A12" s="623" t="s">
        <v>81</v>
      </c>
      <c r="B12" s="305" t="s">
        <v>1561</v>
      </c>
      <c r="C12" s="299" t="s">
        <v>1098</v>
      </c>
      <c r="D12" s="299" t="s">
        <v>30</v>
      </c>
      <c r="E12" s="622" t="s">
        <v>1564</v>
      </c>
      <c r="F12" s="300"/>
      <c r="G12" s="306">
        <f>G13</f>
        <v>1967.5</v>
      </c>
      <c r="H12" s="302"/>
      <c r="I12" s="302"/>
      <c r="J12" s="1040"/>
      <c r="K12" s="306">
        <f>K13</f>
        <v>1574</v>
      </c>
      <c r="L12" s="353">
        <f>L13</f>
        <v>6090.4</v>
      </c>
      <c r="M12" s="303"/>
      <c r="N12" s="354"/>
      <c r="O12" s="304"/>
      <c r="P12" s="304"/>
    </row>
    <row r="13" spans="1:16" ht="38.25">
      <c r="A13" s="1048" t="s">
        <v>1016</v>
      </c>
      <c r="B13" s="305" t="s">
        <v>1015</v>
      </c>
      <c r="C13" s="1036" t="s">
        <v>1098</v>
      </c>
      <c r="D13" s="1036" t="s">
        <v>30</v>
      </c>
      <c r="E13" s="1036" t="s">
        <v>1564</v>
      </c>
      <c r="F13" s="300">
        <f>F14+F15+F16</f>
        <v>400</v>
      </c>
      <c r="G13" s="307">
        <f>G14+G15+G16</f>
        <v>1967.5</v>
      </c>
      <c r="H13" s="302">
        <f>G13-F13</f>
        <v>1567.5</v>
      </c>
      <c r="I13" s="302">
        <f>G13/F13*100</f>
        <v>491.875</v>
      </c>
      <c r="J13" s="1040"/>
      <c r="K13" s="307">
        <f t="shared" ref="K13:L13" si="6">K14+K15+K16</f>
        <v>1574</v>
      </c>
      <c r="L13" s="308">
        <f t="shared" si="6"/>
        <v>6090.4</v>
      </c>
      <c r="M13" s="309" t="s">
        <v>950</v>
      </c>
      <c r="N13" s="310" t="s">
        <v>951</v>
      </c>
      <c r="O13" s="311" t="s">
        <v>952</v>
      </c>
      <c r="P13" s="311" t="s">
        <v>953</v>
      </c>
    </row>
    <row r="14" spans="1:16" ht="34.5" customHeight="1">
      <c r="A14" s="1049"/>
      <c r="B14" s="305" t="s">
        <v>954</v>
      </c>
      <c r="C14" s="1037"/>
      <c r="D14" s="1037"/>
      <c r="E14" s="1037"/>
      <c r="F14" s="300">
        <v>400</v>
      </c>
      <c r="G14" s="312">
        <v>162.5</v>
      </c>
      <c r="H14" s="302">
        <f t="shared" ref="H14:H77" si="7">G14-F14</f>
        <v>-237.5</v>
      </c>
      <c r="I14" s="302">
        <f t="shared" ref="I14" si="8">G14/F14*100</f>
        <v>40.625</v>
      </c>
      <c r="J14" s="1040"/>
      <c r="K14" s="312">
        <v>130</v>
      </c>
      <c r="L14" s="313">
        <v>468.5</v>
      </c>
      <c r="M14" s="309" t="s">
        <v>955</v>
      </c>
      <c r="N14" s="310" t="s">
        <v>956</v>
      </c>
      <c r="O14" s="311" t="s">
        <v>951</v>
      </c>
      <c r="P14" s="311" t="s">
        <v>957</v>
      </c>
    </row>
    <row r="15" spans="1:16" ht="30.75" customHeight="1">
      <c r="A15" s="1049"/>
      <c r="B15" s="305" t="s">
        <v>958</v>
      </c>
      <c r="C15" s="1037"/>
      <c r="D15" s="1037"/>
      <c r="E15" s="1037"/>
      <c r="F15" s="304"/>
      <c r="G15" s="314">
        <v>487.3</v>
      </c>
      <c r="H15" s="302">
        <f t="shared" si="7"/>
        <v>487.3</v>
      </c>
      <c r="I15" s="302"/>
      <c r="J15" s="1040"/>
      <c r="K15" s="314">
        <v>389.9</v>
      </c>
      <c r="L15" s="315">
        <v>1405.5</v>
      </c>
      <c r="M15" s="309" t="s">
        <v>959</v>
      </c>
      <c r="N15" s="316">
        <v>1</v>
      </c>
      <c r="O15" s="317">
        <v>2</v>
      </c>
      <c r="P15" s="317">
        <v>4</v>
      </c>
    </row>
    <row r="16" spans="1:16" ht="33" customHeight="1">
      <c r="A16" s="1050"/>
      <c r="B16" s="305" t="s">
        <v>960</v>
      </c>
      <c r="C16" s="1038"/>
      <c r="D16" s="1038"/>
      <c r="E16" s="1038"/>
      <c r="F16" s="304"/>
      <c r="G16" s="314">
        <v>1317.7</v>
      </c>
      <c r="H16" s="302">
        <f t="shared" si="7"/>
        <v>1317.7</v>
      </c>
      <c r="I16" s="302"/>
      <c r="J16" s="1041"/>
      <c r="K16" s="314">
        <v>1054.0999999999999</v>
      </c>
      <c r="L16" s="315">
        <v>4216.3999999999996</v>
      </c>
      <c r="M16" s="309" t="s">
        <v>955</v>
      </c>
      <c r="N16" s="318" t="s">
        <v>956</v>
      </c>
      <c r="O16" s="317">
        <v>1</v>
      </c>
      <c r="P16" s="317">
        <v>1</v>
      </c>
    </row>
    <row r="17" spans="1:16" ht="30">
      <c r="A17" s="623" t="s">
        <v>46</v>
      </c>
      <c r="B17" s="319" t="s">
        <v>961</v>
      </c>
      <c r="C17" s="320"/>
      <c r="D17" s="320"/>
      <c r="E17" s="299" t="s">
        <v>1565</v>
      </c>
      <c r="F17" s="304"/>
      <c r="G17" s="321">
        <f>G18+G54</f>
        <v>9653.2999999999993</v>
      </c>
      <c r="H17" s="302">
        <f t="shared" si="7"/>
        <v>9653.2999999999993</v>
      </c>
      <c r="I17" s="302"/>
      <c r="J17" s="322"/>
      <c r="K17" s="321">
        <f>K18+K54</f>
        <v>6926.4</v>
      </c>
      <c r="L17" s="321">
        <f>L18+L54</f>
        <v>6741.7000000000007</v>
      </c>
      <c r="M17" s="323"/>
      <c r="N17" s="304"/>
      <c r="O17" s="304"/>
      <c r="P17" s="304"/>
    </row>
    <row r="18" spans="1:16" ht="51.75" customHeight="1">
      <c r="A18" s="1042" t="s">
        <v>26</v>
      </c>
      <c r="B18" s="305" t="s">
        <v>1562</v>
      </c>
      <c r="C18" s="1027" t="s">
        <v>1568</v>
      </c>
      <c r="D18" s="1027" t="s">
        <v>823</v>
      </c>
      <c r="E18" s="1036" t="s">
        <v>1566</v>
      </c>
      <c r="F18" s="304"/>
      <c r="G18" s="325">
        <f>G22</f>
        <v>9653.2999999999993</v>
      </c>
      <c r="H18" s="325">
        <f t="shared" ref="H18:L18" si="9">H22</f>
        <v>9653.2999999999993</v>
      </c>
      <c r="I18" s="325">
        <f t="shared" si="9"/>
        <v>0</v>
      </c>
      <c r="J18" s="325">
        <f t="shared" si="9"/>
        <v>0</v>
      </c>
      <c r="K18" s="325">
        <f t="shared" si="9"/>
        <v>6926.4</v>
      </c>
      <c r="L18" s="325">
        <f t="shared" si="9"/>
        <v>6741.7000000000007</v>
      </c>
      <c r="M18" s="303"/>
      <c r="N18" s="304"/>
      <c r="O18" s="304"/>
      <c r="P18" s="304"/>
    </row>
    <row r="19" spans="1:16" ht="15" hidden="1">
      <c r="A19" s="1043"/>
      <c r="B19" s="305" t="s">
        <v>954</v>
      </c>
      <c r="C19" s="1028"/>
      <c r="D19" s="1028"/>
      <c r="E19" s="1037"/>
      <c r="F19" s="304"/>
      <c r="G19" s="326"/>
      <c r="H19" s="302">
        <f t="shared" si="7"/>
        <v>0</v>
      </c>
      <c r="I19" s="302"/>
      <c r="J19" s="322"/>
      <c r="K19" s="326">
        <f t="shared" ref="K19:L21" si="10">K23+K27+K31+K35+K39+K43+K47+K51</f>
        <v>0</v>
      </c>
      <c r="L19" s="326">
        <f t="shared" si="10"/>
        <v>0</v>
      </c>
      <c r="M19" s="303"/>
      <c r="N19" s="304"/>
      <c r="O19" s="304"/>
      <c r="P19" s="304"/>
    </row>
    <row r="20" spans="1:16" ht="15" hidden="1">
      <c r="A20" s="1043"/>
      <c r="B20" s="305" t="s">
        <v>958</v>
      </c>
      <c r="C20" s="1028"/>
      <c r="D20" s="1028"/>
      <c r="E20" s="1037"/>
      <c r="F20" s="304"/>
      <c r="G20" s="326"/>
      <c r="H20" s="302">
        <f t="shared" si="7"/>
        <v>0</v>
      </c>
      <c r="I20" s="302"/>
      <c r="J20" s="322"/>
      <c r="K20" s="326">
        <f t="shared" si="10"/>
        <v>1870.1</v>
      </c>
      <c r="L20" s="326">
        <f t="shared" si="10"/>
        <v>1685.4</v>
      </c>
      <c r="M20" s="303"/>
      <c r="N20" s="304"/>
      <c r="O20" s="304"/>
      <c r="P20" s="304"/>
    </row>
    <row r="21" spans="1:16" ht="15" hidden="1">
      <c r="A21" s="1044"/>
      <c r="B21" s="305" t="s">
        <v>960</v>
      </c>
      <c r="C21" s="1029"/>
      <c r="D21" s="1029"/>
      <c r="E21" s="1038"/>
      <c r="F21" s="304"/>
      <c r="G21" s="326"/>
      <c r="H21" s="302">
        <f t="shared" si="7"/>
        <v>0</v>
      </c>
      <c r="I21" s="302"/>
      <c r="J21" s="322"/>
      <c r="K21" s="326">
        <f t="shared" si="10"/>
        <v>5056.3</v>
      </c>
      <c r="L21" s="326">
        <f t="shared" si="10"/>
        <v>5056.3</v>
      </c>
      <c r="M21" s="303"/>
      <c r="N21" s="304"/>
      <c r="O21" s="304"/>
      <c r="P21" s="304"/>
    </row>
    <row r="22" spans="1:16" ht="45">
      <c r="A22" s="1045" t="s">
        <v>962</v>
      </c>
      <c r="B22" s="305" t="s">
        <v>1563</v>
      </c>
      <c r="C22" s="1027" t="s">
        <v>1568</v>
      </c>
      <c r="D22" s="1027" t="s">
        <v>823</v>
      </c>
      <c r="E22" s="1036" t="s">
        <v>1567</v>
      </c>
      <c r="F22" s="304"/>
      <c r="G22" s="321">
        <f>G24+G25</f>
        <v>9653.2999999999993</v>
      </c>
      <c r="H22" s="321">
        <f t="shared" ref="H22:L22" si="11">H24+H25</f>
        <v>9653.2999999999993</v>
      </c>
      <c r="I22" s="321">
        <f t="shared" si="11"/>
        <v>0</v>
      </c>
      <c r="J22" s="321">
        <f t="shared" si="11"/>
        <v>0</v>
      </c>
      <c r="K22" s="321">
        <f t="shared" si="11"/>
        <v>6926.4</v>
      </c>
      <c r="L22" s="321">
        <f t="shared" si="11"/>
        <v>6741.7000000000007</v>
      </c>
      <c r="M22" s="303"/>
      <c r="N22" s="304"/>
      <c r="O22" s="304"/>
      <c r="P22" s="304"/>
    </row>
    <row r="23" spans="1:16" ht="15">
      <c r="A23" s="1046"/>
      <c r="B23" s="305" t="s">
        <v>954</v>
      </c>
      <c r="C23" s="1028"/>
      <c r="D23" s="1028"/>
      <c r="E23" s="1037"/>
      <c r="F23" s="304"/>
      <c r="G23" s="328">
        <v>0</v>
      </c>
      <c r="H23" s="328">
        <v>0</v>
      </c>
      <c r="I23" s="328">
        <v>0</v>
      </c>
      <c r="J23" s="328">
        <v>0</v>
      </c>
      <c r="K23" s="328">
        <v>0</v>
      </c>
      <c r="L23" s="328">
        <v>0</v>
      </c>
      <c r="M23" s="303"/>
      <c r="N23" s="304"/>
      <c r="O23" s="304"/>
      <c r="P23" s="304"/>
    </row>
    <row r="24" spans="1:16" ht="15">
      <c r="A24" s="1046"/>
      <c r="B24" s="305" t="s">
        <v>958</v>
      </c>
      <c r="C24" s="1028"/>
      <c r="D24" s="1028"/>
      <c r="E24" s="1037"/>
      <c r="F24" s="304"/>
      <c r="G24" s="328">
        <v>2606.4</v>
      </c>
      <c r="H24" s="302">
        <f t="shared" si="7"/>
        <v>2606.4</v>
      </c>
      <c r="I24" s="302"/>
      <c r="J24" s="322"/>
      <c r="K24" s="312">
        <v>1870.1</v>
      </c>
      <c r="L24" s="312">
        <v>1685.4</v>
      </c>
      <c r="M24" s="303"/>
      <c r="N24" s="304"/>
      <c r="O24" s="304"/>
      <c r="P24" s="304"/>
    </row>
    <row r="25" spans="1:16" ht="15">
      <c r="A25" s="1047"/>
      <c r="B25" s="305" t="s">
        <v>960</v>
      </c>
      <c r="C25" s="1029"/>
      <c r="D25" s="1029"/>
      <c r="E25" s="1038"/>
      <c r="F25" s="304"/>
      <c r="G25" s="328">
        <v>7046.9</v>
      </c>
      <c r="H25" s="302">
        <f t="shared" si="7"/>
        <v>7046.9</v>
      </c>
      <c r="I25" s="302"/>
      <c r="J25" s="322"/>
      <c r="K25" s="312">
        <v>5056.3</v>
      </c>
      <c r="L25" s="312">
        <v>5056.3</v>
      </c>
      <c r="M25" s="303"/>
      <c r="N25" s="304"/>
      <c r="O25" s="304"/>
      <c r="P25" s="304"/>
    </row>
    <row r="26" spans="1:16" ht="30" hidden="1">
      <c r="A26" s="1033" t="s">
        <v>963</v>
      </c>
      <c r="B26" s="329" t="s">
        <v>964</v>
      </c>
      <c r="C26" s="1036" t="s">
        <v>1099</v>
      </c>
      <c r="D26" s="1027" t="s">
        <v>205</v>
      </c>
      <c r="E26" s="1036" t="s">
        <v>1087</v>
      </c>
      <c r="F26" s="304"/>
      <c r="G26" s="312"/>
      <c r="H26" s="302">
        <f t="shared" si="7"/>
        <v>0</v>
      </c>
      <c r="I26" s="302"/>
      <c r="J26" s="322"/>
      <c r="K26" s="312">
        <v>0</v>
      </c>
      <c r="L26" s="312">
        <v>0</v>
      </c>
      <c r="M26" s="303"/>
      <c r="N26" s="304"/>
      <c r="O26" s="304"/>
      <c r="P26" s="304"/>
    </row>
    <row r="27" spans="1:16" ht="15" hidden="1">
      <c r="A27" s="1034"/>
      <c r="B27" s="305" t="s">
        <v>954</v>
      </c>
      <c r="C27" s="1037"/>
      <c r="D27" s="1028"/>
      <c r="E27" s="1037"/>
      <c r="F27" s="304"/>
      <c r="G27" s="328"/>
      <c r="H27" s="302">
        <f t="shared" si="7"/>
        <v>0</v>
      </c>
      <c r="I27" s="302"/>
      <c r="J27" s="322"/>
      <c r="K27" s="312"/>
      <c r="L27" s="312"/>
      <c r="M27" s="303"/>
      <c r="N27" s="304"/>
      <c r="O27" s="304"/>
      <c r="P27" s="304"/>
    </row>
    <row r="28" spans="1:16" ht="15" hidden="1">
      <c r="A28" s="1034"/>
      <c r="B28" s="305" t="s">
        <v>958</v>
      </c>
      <c r="C28" s="1037"/>
      <c r="D28" s="1028"/>
      <c r="E28" s="1037"/>
      <c r="F28" s="304"/>
      <c r="G28" s="328"/>
      <c r="H28" s="302">
        <f t="shared" si="7"/>
        <v>0</v>
      </c>
      <c r="I28" s="302"/>
      <c r="J28" s="322"/>
      <c r="K28" s="312"/>
      <c r="L28" s="312"/>
      <c r="M28" s="303"/>
      <c r="N28" s="304"/>
      <c r="O28" s="304"/>
      <c r="P28" s="304"/>
    </row>
    <row r="29" spans="1:16" ht="15" hidden="1">
      <c r="A29" s="1035"/>
      <c r="B29" s="305" t="s">
        <v>960</v>
      </c>
      <c r="C29" s="1038"/>
      <c r="D29" s="1029"/>
      <c r="E29" s="1038"/>
      <c r="F29" s="304"/>
      <c r="G29" s="328"/>
      <c r="H29" s="302">
        <f t="shared" si="7"/>
        <v>0</v>
      </c>
      <c r="I29" s="302"/>
      <c r="J29" s="322"/>
      <c r="K29" s="312"/>
      <c r="L29" s="312"/>
      <c r="M29" s="303"/>
      <c r="N29" s="304"/>
      <c r="O29" s="304"/>
      <c r="P29" s="304"/>
    </row>
    <row r="30" spans="1:16" ht="30" hidden="1">
      <c r="A30" s="1033" t="s">
        <v>966</v>
      </c>
      <c r="B30" s="305" t="s">
        <v>967</v>
      </c>
      <c r="C30" s="1036" t="s">
        <v>1099</v>
      </c>
      <c r="D30" s="1027" t="s">
        <v>20</v>
      </c>
      <c r="E30" s="1036" t="s">
        <v>1088</v>
      </c>
      <c r="F30" s="304"/>
      <c r="G30" s="312"/>
      <c r="H30" s="302">
        <f t="shared" si="7"/>
        <v>0</v>
      </c>
      <c r="I30" s="302"/>
      <c r="J30" s="322"/>
      <c r="K30" s="312">
        <v>0</v>
      </c>
      <c r="L30" s="312">
        <v>0</v>
      </c>
      <c r="M30" s="303"/>
      <c r="N30" s="304"/>
      <c r="O30" s="304"/>
      <c r="P30" s="304"/>
    </row>
    <row r="31" spans="1:16" ht="15" hidden="1">
      <c r="A31" s="1034"/>
      <c r="B31" s="305" t="s">
        <v>954</v>
      </c>
      <c r="C31" s="1037"/>
      <c r="D31" s="1028"/>
      <c r="E31" s="1037"/>
      <c r="F31" s="304"/>
      <c r="G31" s="328"/>
      <c r="H31" s="302">
        <f t="shared" si="7"/>
        <v>0</v>
      </c>
      <c r="I31" s="302"/>
      <c r="J31" s="322"/>
      <c r="K31" s="312"/>
      <c r="L31" s="312"/>
      <c r="M31" s="303"/>
      <c r="N31" s="304"/>
      <c r="O31" s="304"/>
      <c r="P31" s="304"/>
    </row>
    <row r="32" spans="1:16" ht="15" hidden="1">
      <c r="A32" s="1034"/>
      <c r="B32" s="305" t="s">
        <v>958</v>
      </c>
      <c r="C32" s="1037"/>
      <c r="D32" s="1028"/>
      <c r="E32" s="1037"/>
      <c r="F32" s="304"/>
      <c r="G32" s="328"/>
      <c r="H32" s="302">
        <f t="shared" si="7"/>
        <v>0</v>
      </c>
      <c r="I32" s="302"/>
      <c r="J32" s="322"/>
      <c r="K32" s="312"/>
      <c r="L32" s="312"/>
      <c r="M32" s="303"/>
      <c r="N32" s="304"/>
      <c r="O32" s="304"/>
      <c r="P32" s="304"/>
    </row>
    <row r="33" spans="1:16" ht="15" hidden="1">
      <c r="A33" s="1035"/>
      <c r="B33" s="305" t="s">
        <v>960</v>
      </c>
      <c r="C33" s="1038"/>
      <c r="D33" s="1029"/>
      <c r="E33" s="1038"/>
      <c r="F33" s="304"/>
      <c r="G33" s="328"/>
      <c r="H33" s="302">
        <f t="shared" si="7"/>
        <v>0</v>
      </c>
      <c r="I33" s="302"/>
      <c r="J33" s="322"/>
      <c r="K33" s="312"/>
      <c r="L33" s="312"/>
      <c r="M33" s="303"/>
      <c r="N33" s="304"/>
      <c r="O33" s="304"/>
      <c r="P33" s="304"/>
    </row>
    <row r="34" spans="1:16" ht="45" hidden="1">
      <c r="A34" s="1033" t="s">
        <v>968</v>
      </c>
      <c r="B34" s="305" t="s">
        <v>969</v>
      </c>
      <c r="C34" s="1036" t="s">
        <v>1099</v>
      </c>
      <c r="D34" s="1027" t="s">
        <v>20</v>
      </c>
      <c r="E34" s="1036" t="s">
        <v>1089</v>
      </c>
      <c r="F34" s="304"/>
      <c r="G34" s="312"/>
      <c r="H34" s="302">
        <f t="shared" si="7"/>
        <v>0</v>
      </c>
      <c r="I34" s="302"/>
      <c r="J34" s="322"/>
      <c r="K34" s="312">
        <v>0</v>
      </c>
      <c r="L34" s="312">
        <v>0</v>
      </c>
      <c r="M34" s="303"/>
      <c r="N34" s="304"/>
      <c r="O34" s="304"/>
      <c r="P34" s="304"/>
    </row>
    <row r="35" spans="1:16" ht="15" hidden="1">
      <c r="A35" s="1034"/>
      <c r="B35" s="305" t="s">
        <v>954</v>
      </c>
      <c r="C35" s="1037"/>
      <c r="D35" s="1028"/>
      <c r="E35" s="1037"/>
      <c r="F35" s="304"/>
      <c r="G35" s="328"/>
      <c r="H35" s="302">
        <f t="shared" si="7"/>
        <v>0</v>
      </c>
      <c r="I35" s="302"/>
      <c r="J35" s="322"/>
      <c r="K35" s="312"/>
      <c r="L35" s="312"/>
      <c r="M35" s="303"/>
      <c r="N35" s="304"/>
      <c r="O35" s="304"/>
      <c r="P35" s="304"/>
    </row>
    <row r="36" spans="1:16" ht="15" hidden="1">
      <c r="A36" s="1034"/>
      <c r="B36" s="305" t="s">
        <v>958</v>
      </c>
      <c r="C36" s="1037"/>
      <c r="D36" s="1028"/>
      <c r="E36" s="1037"/>
      <c r="F36" s="304"/>
      <c r="G36" s="328"/>
      <c r="H36" s="302">
        <f t="shared" si="7"/>
        <v>0</v>
      </c>
      <c r="I36" s="302"/>
      <c r="J36" s="322"/>
      <c r="K36" s="312"/>
      <c r="L36" s="312"/>
      <c r="M36" s="303"/>
      <c r="N36" s="304"/>
      <c r="O36" s="304"/>
      <c r="P36" s="304"/>
    </row>
    <row r="37" spans="1:16" ht="15" hidden="1">
      <c r="A37" s="1035"/>
      <c r="B37" s="305" t="s">
        <v>960</v>
      </c>
      <c r="C37" s="1038"/>
      <c r="D37" s="1029"/>
      <c r="E37" s="1038"/>
      <c r="F37" s="304"/>
      <c r="G37" s="328"/>
      <c r="H37" s="302">
        <f t="shared" si="7"/>
        <v>0</v>
      </c>
      <c r="I37" s="302"/>
      <c r="J37" s="322"/>
      <c r="K37" s="312"/>
      <c r="L37" s="312"/>
      <c r="M37" s="303"/>
      <c r="N37" s="304"/>
      <c r="O37" s="304"/>
      <c r="P37" s="304"/>
    </row>
    <row r="38" spans="1:16" ht="45" hidden="1">
      <c r="A38" s="1033" t="s">
        <v>970</v>
      </c>
      <c r="B38" s="305" t="s">
        <v>971</v>
      </c>
      <c r="C38" s="1036" t="s">
        <v>1099</v>
      </c>
      <c r="D38" s="1027" t="s">
        <v>20</v>
      </c>
      <c r="E38" s="1036" t="s">
        <v>1090</v>
      </c>
      <c r="F38" s="304"/>
      <c r="G38" s="312"/>
      <c r="H38" s="302">
        <f t="shared" si="7"/>
        <v>0</v>
      </c>
      <c r="I38" s="302"/>
      <c r="J38" s="322"/>
      <c r="K38" s="312">
        <v>0</v>
      </c>
      <c r="L38" s="312">
        <v>0</v>
      </c>
      <c r="M38" s="303"/>
      <c r="N38" s="304"/>
      <c r="O38" s="304"/>
      <c r="P38" s="304"/>
    </row>
    <row r="39" spans="1:16" ht="15" hidden="1" customHeight="1">
      <c r="A39" s="1034"/>
      <c r="B39" s="305" t="s">
        <v>954</v>
      </c>
      <c r="C39" s="1037"/>
      <c r="D39" s="1028"/>
      <c r="E39" s="1037"/>
      <c r="F39" s="304"/>
      <c r="G39" s="328"/>
      <c r="H39" s="302">
        <f t="shared" si="7"/>
        <v>0</v>
      </c>
      <c r="I39" s="302"/>
      <c r="J39" s="322"/>
      <c r="K39" s="312"/>
      <c r="L39" s="312"/>
      <c r="M39" s="303"/>
      <c r="N39" s="304"/>
      <c r="O39" s="304"/>
      <c r="P39" s="304"/>
    </row>
    <row r="40" spans="1:16" ht="15" hidden="1" customHeight="1">
      <c r="A40" s="1034"/>
      <c r="B40" s="305" t="s">
        <v>958</v>
      </c>
      <c r="C40" s="1037"/>
      <c r="D40" s="1028"/>
      <c r="E40" s="1037"/>
      <c r="F40" s="304"/>
      <c r="G40" s="328"/>
      <c r="H40" s="302">
        <f t="shared" si="7"/>
        <v>0</v>
      </c>
      <c r="I40" s="302"/>
      <c r="J40" s="322"/>
      <c r="K40" s="312"/>
      <c r="L40" s="312"/>
      <c r="M40" s="303"/>
      <c r="N40" s="304"/>
      <c r="O40" s="304"/>
      <c r="P40" s="304"/>
    </row>
    <row r="41" spans="1:16" ht="15" hidden="1" customHeight="1">
      <c r="A41" s="1035"/>
      <c r="B41" s="305" t="s">
        <v>960</v>
      </c>
      <c r="C41" s="1038"/>
      <c r="D41" s="1029"/>
      <c r="E41" s="1038"/>
      <c r="F41" s="304"/>
      <c r="G41" s="328"/>
      <c r="H41" s="302">
        <f t="shared" si="7"/>
        <v>0</v>
      </c>
      <c r="I41" s="302"/>
      <c r="J41" s="322"/>
      <c r="K41" s="312"/>
      <c r="L41" s="312"/>
      <c r="M41" s="303"/>
      <c r="N41" s="304"/>
      <c r="O41" s="304"/>
      <c r="P41" s="304"/>
    </row>
    <row r="42" spans="1:16" ht="30" hidden="1">
      <c r="A42" s="1033" t="s">
        <v>972</v>
      </c>
      <c r="B42" s="305" t="s">
        <v>973</v>
      </c>
      <c r="C42" s="1036" t="s">
        <v>1099</v>
      </c>
      <c r="D42" s="1027" t="s">
        <v>823</v>
      </c>
      <c r="E42" s="1036" t="s">
        <v>1091</v>
      </c>
      <c r="F42" s="304"/>
      <c r="G42" s="312"/>
      <c r="H42" s="302">
        <f t="shared" si="7"/>
        <v>0</v>
      </c>
      <c r="I42" s="302"/>
      <c r="J42" s="322"/>
      <c r="K42" s="312">
        <v>0</v>
      </c>
      <c r="L42" s="312">
        <v>0</v>
      </c>
      <c r="M42" s="303"/>
      <c r="N42" s="304"/>
      <c r="O42" s="304"/>
      <c r="P42" s="304"/>
    </row>
    <row r="43" spans="1:16" ht="15" hidden="1" customHeight="1">
      <c r="A43" s="1034"/>
      <c r="B43" s="305" t="s">
        <v>954</v>
      </c>
      <c r="C43" s="1037"/>
      <c r="D43" s="1028"/>
      <c r="E43" s="1037"/>
      <c r="F43" s="304"/>
      <c r="G43" s="328"/>
      <c r="H43" s="302">
        <f t="shared" si="7"/>
        <v>0</v>
      </c>
      <c r="I43" s="302"/>
      <c r="J43" s="322"/>
      <c r="K43" s="312"/>
      <c r="L43" s="312"/>
      <c r="M43" s="303"/>
      <c r="N43" s="304"/>
      <c r="O43" s="304"/>
      <c r="P43" s="304"/>
    </row>
    <row r="44" spans="1:16" ht="15" hidden="1" customHeight="1">
      <c r="A44" s="1034"/>
      <c r="B44" s="305" t="s">
        <v>958</v>
      </c>
      <c r="C44" s="1037"/>
      <c r="D44" s="1028"/>
      <c r="E44" s="1037"/>
      <c r="F44" s="304"/>
      <c r="G44" s="328"/>
      <c r="H44" s="302">
        <f t="shared" si="7"/>
        <v>0</v>
      </c>
      <c r="I44" s="302"/>
      <c r="J44" s="322"/>
      <c r="K44" s="312"/>
      <c r="L44" s="312"/>
      <c r="M44" s="303"/>
      <c r="N44" s="304"/>
      <c r="O44" s="304"/>
      <c r="P44" s="304"/>
    </row>
    <row r="45" spans="1:16" ht="15" hidden="1" customHeight="1">
      <c r="A45" s="1035"/>
      <c r="B45" s="305" t="s">
        <v>960</v>
      </c>
      <c r="C45" s="1038"/>
      <c r="D45" s="1029"/>
      <c r="E45" s="1038"/>
      <c r="F45" s="304"/>
      <c r="G45" s="328"/>
      <c r="H45" s="302">
        <f t="shared" si="7"/>
        <v>0</v>
      </c>
      <c r="I45" s="302"/>
      <c r="J45" s="322"/>
      <c r="K45" s="312"/>
      <c r="L45" s="312"/>
      <c r="M45" s="303"/>
      <c r="N45" s="304"/>
      <c r="O45" s="304"/>
      <c r="P45" s="304"/>
    </row>
    <row r="46" spans="1:16" ht="15" hidden="1">
      <c r="A46" s="1033" t="s">
        <v>974</v>
      </c>
      <c r="B46" s="305" t="s">
        <v>975</v>
      </c>
      <c r="C46" s="1036" t="s">
        <v>1100</v>
      </c>
      <c r="D46" s="1027" t="s">
        <v>11</v>
      </c>
      <c r="E46" s="1036" t="s">
        <v>1092</v>
      </c>
      <c r="F46" s="304"/>
      <c r="G46" s="328"/>
      <c r="H46" s="302">
        <f t="shared" si="7"/>
        <v>0</v>
      </c>
      <c r="I46" s="302"/>
      <c r="J46" s="322"/>
      <c r="K46" s="312">
        <v>0</v>
      </c>
      <c r="L46" s="312">
        <v>0</v>
      </c>
      <c r="M46" s="303"/>
      <c r="N46" s="304"/>
      <c r="O46" s="304"/>
      <c r="P46" s="304"/>
    </row>
    <row r="47" spans="1:16" ht="15" hidden="1" customHeight="1">
      <c r="A47" s="1034"/>
      <c r="B47" s="305" t="s">
        <v>954</v>
      </c>
      <c r="C47" s="1037"/>
      <c r="D47" s="1028"/>
      <c r="E47" s="1037"/>
      <c r="F47" s="304"/>
      <c r="G47" s="328"/>
      <c r="H47" s="302">
        <f t="shared" si="7"/>
        <v>0</v>
      </c>
      <c r="I47" s="302"/>
      <c r="J47" s="322"/>
      <c r="K47" s="312"/>
      <c r="L47" s="312"/>
      <c r="M47" s="303"/>
      <c r="N47" s="304"/>
      <c r="O47" s="304"/>
      <c r="P47" s="304"/>
    </row>
    <row r="48" spans="1:16" ht="15" hidden="1" customHeight="1">
      <c r="A48" s="1034"/>
      <c r="B48" s="305" t="s">
        <v>958</v>
      </c>
      <c r="C48" s="1037"/>
      <c r="D48" s="1028"/>
      <c r="E48" s="1037"/>
      <c r="F48" s="304"/>
      <c r="G48" s="328"/>
      <c r="H48" s="302">
        <f t="shared" si="7"/>
        <v>0</v>
      </c>
      <c r="I48" s="302"/>
      <c r="J48" s="322"/>
      <c r="K48" s="312"/>
      <c r="L48" s="312"/>
      <c r="M48" s="303"/>
      <c r="N48" s="304"/>
      <c r="O48" s="304"/>
      <c r="P48" s="304"/>
    </row>
    <row r="49" spans="1:16" ht="15" hidden="1" customHeight="1">
      <c r="A49" s="1035"/>
      <c r="B49" s="305" t="s">
        <v>960</v>
      </c>
      <c r="C49" s="1038"/>
      <c r="D49" s="1029"/>
      <c r="E49" s="1038"/>
      <c r="F49" s="304"/>
      <c r="G49" s="328"/>
      <c r="H49" s="302">
        <f t="shared" si="7"/>
        <v>0</v>
      </c>
      <c r="I49" s="302"/>
      <c r="J49" s="322"/>
      <c r="K49" s="312"/>
      <c r="L49" s="312"/>
      <c r="M49" s="303"/>
      <c r="N49" s="304"/>
      <c r="O49" s="304"/>
      <c r="P49" s="304"/>
    </row>
    <row r="50" spans="1:16" ht="30" hidden="1">
      <c r="A50" s="1033" t="s">
        <v>976</v>
      </c>
      <c r="B50" s="305" t="s">
        <v>977</v>
      </c>
      <c r="C50" s="1027" t="s">
        <v>1101</v>
      </c>
      <c r="D50" s="1027" t="s">
        <v>27</v>
      </c>
      <c r="E50" s="1036" t="s">
        <v>1093</v>
      </c>
      <c r="F50" s="304"/>
      <c r="G50" s="312"/>
      <c r="H50" s="302">
        <f t="shared" si="7"/>
        <v>0</v>
      </c>
      <c r="I50" s="302"/>
      <c r="J50" s="322"/>
      <c r="K50" s="312">
        <v>0</v>
      </c>
      <c r="L50" s="312">
        <v>0</v>
      </c>
      <c r="M50" s="303"/>
      <c r="N50" s="304"/>
      <c r="O50" s="304"/>
      <c r="P50" s="304"/>
    </row>
    <row r="51" spans="1:16" ht="15" hidden="1" customHeight="1">
      <c r="A51" s="1034"/>
      <c r="B51" s="305" t="s">
        <v>954</v>
      </c>
      <c r="C51" s="1028"/>
      <c r="D51" s="1028"/>
      <c r="E51" s="1037"/>
      <c r="F51" s="304"/>
      <c r="G51" s="328">
        <v>19</v>
      </c>
      <c r="H51" s="302">
        <f t="shared" si="7"/>
        <v>19</v>
      </c>
      <c r="I51" s="302"/>
      <c r="J51" s="322"/>
      <c r="K51" s="312"/>
      <c r="L51" s="312"/>
      <c r="M51" s="303"/>
      <c r="N51" s="304"/>
      <c r="O51" s="304"/>
      <c r="P51" s="304"/>
    </row>
    <row r="52" spans="1:16" ht="15" hidden="1" customHeight="1">
      <c r="A52" s="1034"/>
      <c r="B52" s="305" t="s">
        <v>958</v>
      </c>
      <c r="C52" s="1028"/>
      <c r="D52" s="1028"/>
      <c r="E52" s="1037"/>
      <c r="F52" s="304"/>
      <c r="G52" s="328">
        <v>55</v>
      </c>
      <c r="H52" s="302">
        <f t="shared" si="7"/>
        <v>55</v>
      </c>
      <c r="I52" s="302"/>
      <c r="J52" s="322"/>
      <c r="K52" s="312"/>
      <c r="L52" s="312"/>
      <c r="M52" s="303"/>
      <c r="N52" s="304"/>
      <c r="O52" s="304"/>
      <c r="P52" s="304"/>
    </row>
    <row r="53" spans="1:16" ht="15" hidden="1" customHeight="1">
      <c r="A53" s="1035"/>
      <c r="B53" s="305" t="s">
        <v>960</v>
      </c>
      <c r="C53" s="1029"/>
      <c r="D53" s="1029"/>
      <c r="E53" s="1038"/>
      <c r="F53" s="304"/>
      <c r="G53" s="328">
        <v>1401</v>
      </c>
      <c r="H53" s="302">
        <f t="shared" si="7"/>
        <v>1401</v>
      </c>
      <c r="I53" s="302"/>
      <c r="J53" s="322"/>
      <c r="K53" s="312"/>
      <c r="L53" s="312"/>
      <c r="M53" s="303"/>
      <c r="N53" s="304"/>
      <c r="O53" s="304"/>
      <c r="P53" s="304"/>
    </row>
    <row r="54" spans="1:16" ht="30" hidden="1">
      <c r="A54" s="296"/>
      <c r="B54" s="330" t="s">
        <v>978</v>
      </c>
      <c r="C54" s="298" t="s">
        <v>965</v>
      </c>
      <c r="D54" s="324"/>
      <c r="E54" s="331"/>
      <c r="F54" s="304"/>
      <c r="G54" s="325"/>
      <c r="H54" s="302">
        <f t="shared" si="7"/>
        <v>0</v>
      </c>
      <c r="I54" s="302"/>
      <c r="J54" s="322"/>
      <c r="K54" s="325"/>
      <c r="L54" s="325"/>
      <c r="M54" s="303"/>
      <c r="N54" s="304"/>
      <c r="O54" s="304"/>
      <c r="P54" s="304"/>
    </row>
    <row r="55" spans="1:16" ht="30" hidden="1">
      <c r="A55" s="296"/>
      <c r="B55" s="332" t="s">
        <v>979</v>
      </c>
      <c r="C55" s="298" t="s">
        <v>965</v>
      </c>
      <c r="D55" s="324"/>
      <c r="E55" s="331"/>
      <c r="F55" s="304"/>
      <c r="G55" s="326"/>
      <c r="H55" s="302">
        <f t="shared" si="7"/>
        <v>0</v>
      </c>
      <c r="I55" s="302"/>
      <c r="J55" s="322"/>
      <c r="K55" s="326"/>
      <c r="L55" s="326"/>
      <c r="M55" s="303"/>
      <c r="N55" s="304"/>
      <c r="O55" s="304"/>
      <c r="P55" s="304"/>
    </row>
    <row r="56" spans="1:16" ht="30" hidden="1">
      <c r="A56" s="296"/>
      <c r="B56" s="332" t="s">
        <v>980</v>
      </c>
      <c r="C56" s="298" t="s">
        <v>965</v>
      </c>
      <c r="D56" s="324"/>
      <c r="E56" s="331"/>
      <c r="F56" s="304"/>
      <c r="G56" s="326"/>
      <c r="H56" s="302">
        <f t="shared" si="7"/>
        <v>0</v>
      </c>
      <c r="I56" s="302"/>
      <c r="J56" s="322"/>
      <c r="K56" s="326"/>
      <c r="L56" s="326"/>
      <c r="M56" s="303"/>
      <c r="N56" s="304"/>
      <c r="O56" s="304"/>
      <c r="P56" s="304"/>
    </row>
    <row r="57" spans="1:16" ht="30" hidden="1">
      <c r="A57" s="296"/>
      <c r="B57" s="333" t="s">
        <v>981</v>
      </c>
      <c r="C57" s="298" t="s">
        <v>965</v>
      </c>
      <c r="D57" s="324"/>
      <c r="E57" s="331"/>
      <c r="F57" s="304"/>
      <c r="G57" s="326"/>
      <c r="H57" s="302">
        <f t="shared" si="7"/>
        <v>0</v>
      </c>
      <c r="I57" s="302"/>
      <c r="J57" s="322"/>
      <c r="K57" s="326"/>
      <c r="L57" s="326"/>
      <c r="M57" s="303"/>
      <c r="N57" s="304"/>
      <c r="O57" s="304"/>
      <c r="P57" s="304"/>
    </row>
    <row r="58" spans="1:16" ht="30" hidden="1">
      <c r="A58" s="296"/>
      <c r="B58" s="333" t="s">
        <v>982</v>
      </c>
      <c r="C58" s="298" t="s">
        <v>965</v>
      </c>
      <c r="D58" s="324"/>
      <c r="E58" s="331"/>
      <c r="F58" s="304"/>
      <c r="G58" s="326"/>
      <c r="H58" s="302">
        <f t="shared" si="7"/>
        <v>0</v>
      </c>
      <c r="I58" s="302"/>
      <c r="J58" s="322"/>
      <c r="K58" s="326"/>
      <c r="L58" s="326"/>
      <c r="M58" s="303"/>
      <c r="N58" s="304"/>
      <c r="O58" s="304"/>
      <c r="P58" s="304"/>
    </row>
    <row r="59" spans="1:16" ht="30" hidden="1">
      <c r="A59" s="296"/>
      <c r="B59" s="333" t="s">
        <v>983</v>
      </c>
      <c r="C59" s="298" t="s">
        <v>965</v>
      </c>
      <c r="D59" s="324"/>
      <c r="E59" s="331"/>
      <c r="F59" s="304"/>
      <c r="G59" s="326"/>
      <c r="H59" s="302">
        <f t="shared" si="7"/>
        <v>0</v>
      </c>
      <c r="I59" s="302"/>
      <c r="J59" s="322"/>
      <c r="K59" s="326"/>
      <c r="L59" s="326"/>
      <c r="M59" s="303"/>
      <c r="N59" s="304"/>
      <c r="O59" s="304"/>
      <c r="P59" s="304"/>
    </row>
    <row r="60" spans="1:16" ht="30" hidden="1">
      <c r="A60" s="296"/>
      <c r="B60" s="333" t="s">
        <v>984</v>
      </c>
      <c r="C60" s="298" t="s">
        <v>965</v>
      </c>
      <c r="D60" s="324"/>
      <c r="E60" s="331"/>
      <c r="F60" s="304"/>
      <c r="G60" s="326"/>
      <c r="H60" s="302">
        <f t="shared" si="7"/>
        <v>0</v>
      </c>
      <c r="I60" s="302"/>
      <c r="J60" s="322"/>
      <c r="K60" s="326"/>
      <c r="L60" s="326"/>
      <c r="M60" s="303"/>
      <c r="N60" s="304"/>
      <c r="O60" s="304"/>
      <c r="P60" s="304"/>
    </row>
    <row r="61" spans="1:16" ht="30" hidden="1">
      <c r="A61" s="296"/>
      <c r="B61" s="333" t="s">
        <v>985</v>
      </c>
      <c r="C61" s="298" t="s">
        <v>965</v>
      </c>
      <c r="D61" s="324"/>
      <c r="E61" s="331"/>
      <c r="F61" s="304"/>
      <c r="G61" s="326"/>
      <c r="H61" s="302">
        <f t="shared" si="7"/>
        <v>0</v>
      </c>
      <c r="I61" s="302"/>
      <c r="J61" s="322"/>
      <c r="K61" s="326"/>
      <c r="L61" s="326"/>
      <c r="M61" s="303"/>
      <c r="N61" s="304"/>
      <c r="O61" s="304"/>
      <c r="P61" s="304"/>
    </row>
    <row r="62" spans="1:16" ht="30" hidden="1">
      <c r="A62" s="296"/>
      <c r="B62" s="334" t="s">
        <v>986</v>
      </c>
      <c r="C62" s="298" t="s">
        <v>965</v>
      </c>
      <c r="D62" s="324"/>
      <c r="E62" s="331"/>
      <c r="F62" s="304"/>
      <c r="G62" s="326"/>
      <c r="H62" s="302">
        <f t="shared" si="7"/>
        <v>0</v>
      </c>
      <c r="I62" s="302"/>
      <c r="J62" s="322"/>
      <c r="K62" s="326"/>
      <c r="L62" s="326"/>
      <c r="M62" s="303"/>
      <c r="N62" s="304"/>
      <c r="O62" s="304"/>
      <c r="P62" s="304"/>
    </row>
    <row r="63" spans="1:16" ht="30" hidden="1">
      <c r="A63" s="296"/>
      <c r="B63" s="334" t="s">
        <v>987</v>
      </c>
      <c r="C63" s="298" t="s">
        <v>965</v>
      </c>
      <c r="D63" s="324"/>
      <c r="E63" s="331"/>
      <c r="F63" s="304"/>
      <c r="G63" s="326"/>
      <c r="H63" s="302">
        <f t="shared" si="7"/>
        <v>0</v>
      </c>
      <c r="I63" s="302"/>
      <c r="J63" s="322"/>
      <c r="K63" s="326"/>
      <c r="L63" s="326"/>
      <c r="M63" s="303"/>
      <c r="N63" s="304"/>
      <c r="O63" s="304"/>
      <c r="P63" s="304"/>
    </row>
    <row r="64" spans="1:16" ht="105" hidden="1">
      <c r="A64" s="296"/>
      <c r="B64" s="333" t="s">
        <v>988</v>
      </c>
      <c r="C64" s="298" t="s">
        <v>965</v>
      </c>
      <c r="D64" s="324"/>
      <c r="E64" s="331"/>
      <c r="F64" s="304"/>
      <c r="G64" s="326"/>
      <c r="H64" s="302">
        <f t="shared" si="7"/>
        <v>0</v>
      </c>
      <c r="I64" s="302"/>
      <c r="J64" s="322"/>
      <c r="K64" s="326"/>
      <c r="L64" s="326"/>
      <c r="M64" s="303"/>
      <c r="N64" s="304"/>
      <c r="O64" s="304"/>
      <c r="P64" s="304"/>
    </row>
    <row r="65" spans="1:16" ht="45" hidden="1">
      <c r="A65" s="296"/>
      <c r="B65" s="333" t="s">
        <v>989</v>
      </c>
      <c r="C65" s="298" t="s">
        <v>965</v>
      </c>
      <c r="D65" s="324"/>
      <c r="E65" s="331"/>
      <c r="F65" s="304"/>
      <c r="G65" s="326"/>
      <c r="H65" s="302">
        <f t="shared" si="7"/>
        <v>0</v>
      </c>
      <c r="I65" s="302"/>
      <c r="J65" s="322"/>
      <c r="K65" s="326"/>
      <c r="L65" s="326"/>
      <c r="M65" s="303"/>
      <c r="N65" s="304"/>
      <c r="O65" s="304"/>
      <c r="P65" s="304"/>
    </row>
    <row r="66" spans="1:16" ht="30" hidden="1">
      <c r="A66" s="296"/>
      <c r="B66" s="335" t="s">
        <v>990</v>
      </c>
      <c r="C66" s="298" t="s">
        <v>965</v>
      </c>
      <c r="D66" s="324"/>
      <c r="E66" s="331"/>
      <c r="F66" s="304"/>
      <c r="G66" s="326"/>
      <c r="H66" s="302">
        <f t="shared" si="7"/>
        <v>0</v>
      </c>
      <c r="I66" s="302"/>
      <c r="J66" s="322"/>
      <c r="K66" s="326"/>
      <c r="L66" s="326"/>
      <c r="M66" s="303"/>
      <c r="N66" s="304"/>
      <c r="O66" s="304"/>
      <c r="P66" s="304"/>
    </row>
    <row r="67" spans="1:16" ht="30" hidden="1">
      <c r="A67" s="296"/>
      <c r="B67" s="336" t="s">
        <v>991</v>
      </c>
      <c r="C67" s="298" t="s">
        <v>965</v>
      </c>
      <c r="D67" s="324"/>
      <c r="E67" s="331"/>
      <c r="F67" s="304"/>
      <c r="G67" s="326"/>
      <c r="H67" s="302">
        <f t="shared" si="7"/>
        <v>0</v>
      </c>
      <c r="I67" s="302"/>
      <c r="J67" s="322"/>
      <c r="K67" s="326"/>
      <c r="L67" s="326"/>
      <c r="M67" s="303"/>
      <c r="N67" s="304"/>
      <c r="O67" s="304"/>
      <c r="P67" s="304"/>
    </row>
    <row r="68" spans="1:16" ht="45" hidden="1">
      <c r="A68" s="296"/>
      <c r="B68" s="337" t="s">
        <v>992</v>
      </c>
      <c r="C68" s="298" t="s">
        <v>965</v>
      </c>
      <c r="D68" s="324"/>
      <c r="E68" s="331"/>
      <c r="F68" s="304"/>
      <c r="G68" s="326"/>
      <c r="H68" s="302">
        <f t="shared" si="7"/>
        <v>0</v>
      </c>
      <c r="I68" s="302"/>
      <c r="J68" s="322"/>
      <c r="K68" s="326"/>
      <c r="L68" s="326"/>
      <c r="M68" s="303"/>
      <c r="N68" s="304"/>
      <c r="O68" s="304"/>
      <c r="P68" s="304"/>
    </row>
    <row r="69" spans="1:16" ht="45" hidden="1">
      <c r="A69" s="296"/>
      <c r="B69" s="337" t="s">
        <v>993</v>
      </c>
      <c r="C69" s="298" t="s">
        <v>965</v>
      </c>
      <c r="D69" s="324"/>
      <c r="E69" s="331"/>
      <c r="F69" s="304"/>
      <c r="G69" s="326"/>
      <c r="H69" s="302">
        <f t="shared" si="7"/>
        <v>0</v>
      </c>
      <c r="I69" s="302"/>
      <c r="J69" s="322"/>
      <c r="K69" s="326"/>
      <c r="L69" s="326"/>
      <c r="M69" s="303"/>
      <c r="N69" s="304"/>
      <c r="O69" s="304"/>
      <c r="P69" s="304"/>
    </row>
    <row r="70" spans="1:16" ht="45" hidden="1">
      <c r="A70" s="296"/>
      <c r="B70" s="337" t="s">
        <v>994</v>
      </c>
      <c r="C70" s="298" t="s">
        <v>965</v>
      </c>
      <c r="D70" s="324"/>
      <c r="E70" s="331"/>
      <c r="F70" s="304"/>
      <c r="G70" s="326"/>
      <c r="H70" s="302">
        <f t="shared" si="7"/>
        <v>0</v>
      </c>
      <c r="I70" s="302"/>
      <c r="J70" s="322"/>
      <c r="K70" s="326"/>
      <c r="L70" s="326"/>
      <c r="M70" s="303"/>
      <c r="N70" s="304"/>
      <c r="O70" s="304"/>
      <c r="P70" s="304"/>
    </row>
    <row r="71" spans="1:16" ht="60" hidden="1">
      <c r="A71" s="296"/>
      <c r="B71" s="338" t="s">
        <v>995</v>
      </c>
      <c r="C71" s="298" t="s">
        <v>965</v>
      </c>
      <c r="D71" s="324"/>
      <c r="E71" s="331"/>
      <c r="F71" s="304"/>
      <c r="G71" s="326"/>
      <c r="H71" s="302">
        <f t="shared" si="7"/>
        <v>0</v>
      </c>
      <c r="I71" s="302"/>
      <c r="J71" s="322"/>
      <c r="K71" s="326"/>
      <c r="L71" s="326"/>
      <c r="M71" s="303"/>
      <c r="N71" s="304"/>
      <c r="O71" s="304"/>
      <c r="P71" s="304"/>
    </row>
    <row r="72" spans="1:16" ht="30" hidden="1">
      <c r="A72" s="296"/>
      <c r="B72" s="339" t="s">
        <v>996</v>
      </c>
      <c r="C72" s="298" t="s">
        <v>965</v>
      </c>
      <c r="D72" s="324"/>
      <c r="E72" s="331"/>
      <c r="F72" s="304"/>
      <c r="G72" s="326"/>
      <c r="H72" s="302">
        <f t="shared" si="7"/>
        <v>0</v>
      </c>
      <c r="I72" s="302"/>
      <c r="J72" s="322"/>
      <c r="K72" s="326"/>
      <c r="L72" s="326"/>
      <c r="M72" s="303"/>
      <c r="N72" s="304"/>
      <c r="O72" s="304"/>
      <c r="P72" s="304"/>
    </row>
    <row r="73" spans="1:16" ht="30" hidden="1">
      <c r="A73" s="296"/>
      <c r="B73" s="340" t="s">
        <v>997</v>
      </c>
      <c r="C73" s="298" t="s">
        <v>965</v>
      </c>
      <c r="D73" s="324"/>
      <c r="E73" s="331"/>
      <c r="F73" s="304"/>
      <c r="G73" s="326"/>
      <c r="H73" s="302">
        <f t="shared" si="7"/>
        <v>0</v>
      </c>
      <c r="I73" s="302"/>
      <c r="J73" s="322"/>
      <c r="K73" s="326"/>
      <c r="L73" s="326"/>
      <c r="M73" s="303"/>
      <c r="N73" s="304"/>
      <c r="O73" s="304"/>
      <c r="P73" s="304"/>
    </row>
    <row r="74" spans="1:16" ht="30" hidden="1">
      <c r="A74" s="296"/>
      <c r="B74" s="340" t="s">
        <v>998</v>
      </c>
      <c r="C74" s="298" t="s">
        <v>965</v>
      </c>
      <c r="D74" s="324"/>
      <c r="E74" s="331"/>
      <c r="F74" s="304"/>
      <c r="G74" s="326"/>
      <c r="H74" s="302">
        <f t="shared" si="7"/>
        <v>0</v>
      </c>
      <c r="I74" s="302"/>
      <c r="J74" s="322"/>
      <c r="K74" s="326"/>
      <c r="L74" s="326"/>
      <c r="M74" s="303"/>
      <c r="N74" s="304"/>
      <c r="O74" s="304"/>
      <c r="P74" s="304"/>
    </row>
    <row r="75" spans="1:16" ht="30" hidden="1">
      <c r="A75" s="296"/>
      <c r="B75" s="340" t="s">
        <v>999</v>
      </c>
      <c r="C75" s="298" t="s">
        <v>965</v>
      </c>
      <c r="D75" s="324"/>
      <c r="E75" s="331"/>
      <c r="F75" s="304"/>
      <c r="G75" s="326"/>
      <c r="H75" s="302">
        <f t="shared" si="7"/>
        <v>0</v>
      </c>
      <c r="I75" s="302"/>
      <c r="J75" s="322"/>
      <c r="K75" s="326"/>
      <c r="L75" s="326"/>
      <c r="M75" s="303"/>
      <c r="N75" s="304"/>
      <c r="O75" s="304"/>
      <c r="P75" s="304"/>
    </row>
    <row r="76" spans="1:16" ht="30" hidden="1">
      <c r="A76" s="296"/>
      <c r="B76" s="340" t="s">
        <v>1000</v>
      </c>
      <c r="C76" s="298" t="s">
        <v>965</v>
      </c>
      <c r="D76" s="324"/>
      <c r="E76" s="331"/>
      <c r="F76" s="304"/>
      <c r="G76" s="326"/>
      <c r="H76" s="302">
        <f t="shared" si="7"/>
        <v>0</v>
      </c>
      <c r="I76" s="302"/>
      <c r="J76" s="322"/>
      <c r="K76" s="326"/>
      <c r="L76" s="326"/>
      <c r="M76" s="303"/>
      <c r="N76" s="304"/>
      <c r="O76" s="304"/>
      <c r="P76" s="304"/>
    </row>
    <row r="77" spans="1:16" ht="30" hidden="1">
      <c r="A77" s="296"/>
      <c r="B77" s="341" t="s">
        <v>1001</v>
      </c>
      <c r="C77" s="298" t="s">
        <v>965</v>
      </c>
      <c r="D77" s="324"/>
      <c r="E77" s="331"/>
      <c r="F77" s="304"/>
      <c r="G77" s="326"/>
      <c r="H77" s="302">
        <f t="shared" si="7"/>
        <v>0</v>
      </c>
      <c r="I77" s="302"/>
      <c r="J77" s="322"/>
      <c r="K77" s="326"/>
      <c r="L77" s="326"/>
      <c r="M77" s="303"/>
      <c r="N77" s="304"/>
      <c r="O77" s="304"/>
      <c r="P77" s="304"/>
    </row>
    <row r="78" spans="1:16" ht="30" hidden="1">
      <c r="A78" s="296"/>
      <c r="B78" s="341" t="s">
        <v>1002</v>
      </c>
      <c r="C78" s="298" t="s">
        <v>965</v>
      </c>
      <c r="D78" s="324"/>
      <c r="E78" s="331"/>
      <c r="F78" s="304"/>
      <c r="G78" s="326"/>
      <c r="H78" s="302">
        <f t="shared" ref="H78:H89" si="12">G78-F78</f>
        <v>0</v>
      </c>
      <c r="I78" s="302"/>
      <c r="J78" s="322"/>
      <c r="K78" s="326"/>
      <c r="L78" s="326"/>
      <c r="M78" s="303"/>
      <c r="N78" s="304"/>
      <c r="O78" s="304"/>
      <c r="P78" s="304"/>
    </row>
    <row r="79" spans="1:16" ht="30" hidden="1">
      <c r="A79" s="296"/>
      <c r="B79" s="341" t="s">
        <v>1003</v>
      </c>
      <c r="C79" s="298" t="s">
        <v>965</v>
      </c>
      <c r="D79" s="324"/>
      <c r="E79" s="331"/>
      <c r="F79" s="304"/>
      <c r="G79" s="326"/>
      <c r="H79" s="302">
        <f t="shared" si="12"/>
        <v>0</v>
      </c>
      <c r="I79" s="302"/>
      <c r="J79" s="322"/>
      <c r="K79" s="326"/>
      <c r="L79" s="326"/>
      <c r="M79" s="303"/>
      <c r="N79" s="304"/>
      <c r="O79" s="304"/>
      <c r="P79" s="304"/>
    </row>
    <row r="80" spans="1:16" ht="30" hidden="1">
      <c r="A80" s="296"/>
      <c r="B80" s="341" t="s">
        <v>1004</v>
      </c>
      <c r="C80" s="298" t="s">
        <v>965</v>
      </c>
      <c r="D80" s="324"/>
      <c r="E80" s="331"/>
      <c r="F80" s="304"/>
      <c r="G80" s="326"/>
      <c r="H80" s="302">
        <f t="shared" si="12"/>
        <v>0</v>
      </c>
      <c r="I80" s="302"/>
      <c r="J80" s="322"/>
      <c r="K80" s="326"/>
      <c r="L80" s="326"/>
      <c r="M80" s="303"/>
      <c r="N80" s="304"/>
      <c r="O80" s="304"/>
      <c r="P80" s="304"/>
    </row>
    <row r="81" spans="1:16" ht="30" hidden="1">
      <c r="A81" s="296"/>
      <c r="B81" s="342" t="s">
        <v>1005</v>
      </c>
      <c r="C81" s="298" t="s">
        <v>965</v>
      </c>
      <c r="D81" s="324"/>
      <c r="E81" s="331"/>
      <c r="F81" s="304"/>
      <c r="G81" s="326"/>
      <c r="H81" s="302">
        <f t="shared" si="12"/>
        <v>0</v>
      </c>
      <c r="I81" s="302"/>
      <c r="J81" s="322"/>
      <c r="K81" s="326"/>
      <c r="L81" s="326"/>
      <c r="M81" s="303"/>
      <c r="N81" s="304"/>
      <c r="O81" s="304"/>
      <c r="P81" s="304"/>
    </row>
    <row r="82" spans="1:16" ht="30" hidden="1">
      <c r="A82" s="296"/>
      <c r="B82" s="342" t="s">
        <v>1006</v>
      </c>
      <c r="C82" s="298" t="s">
        <v>965</v>
      </c>
      <c r="D82" s="324"/>
      <c r="E82" s="331"/>
      <c r="F82" s="304"/>
      <c r="G82" s="326"/>
      <c r="H82" s="302">
        <f t="shared" si="12"/>
        <v>0</v>
      </c>
      <c r="I82" s="302"/>
      <c r="J82" s="322"/>
      <c r="K82" s="326"/>
      <c r="L82" s="326"/>
      <c r="M82" s="303"/>
      <c r="N82" s="304"/>
      <c r="O82" s="304"/>
      <c r="P82" s="304"/>
    </row>
    <row r="83" spans="1:16" ht="38.25" hidden="1">
      <c r="A83" s="296"/>
      <c r="B83" s="342" t="s">
        <v>1007</v>
      </c>
      <c r="C83" s="298" t="s">
        <v>965</v>
      </c>
      <c r="D83" s="324"/>
      <c r="E83" s="331"/>
      <c r="F83" s="304"/>
      <c r="G83" s="326"/>
      <c r="H83" s="302">
        <f t="shared" si="12"/>
        <v>0</v>
      </c>
      <c r="I83" s="302"/>
      <c r="J83" s="322"/>
      <c r="K83" s="326"/>
      <c r="L83" s="326"/>
      <c r="M83" s="303"/>
      <c r="N83" s="304"/>
      <c r="O83" s="304"/>
      <c r="P83" s="304"/>
    </row>
    <row r="84" spans="1:16" ht="30" hidden="1">
      <c r="A84" s="296"/>
      <c r="B84" s="342" t="s">
        <v>1008</v>
      </c>
      <c r="C84" s="298" t="s">
        <v>965</v>
      </c>
      <c r="D84" s="324"/>
      <c r="E84" s="331"/>
      <c r="F84" s="304"/>
      <c r="G84" s="326"/>
      <c r="H84" s="302">
        <f t="shared" si="12"/>
        <v>0</v>
      </c>
      <c r="I84" s="302"/>
      <c r="J84" s="322"/>
      <c r="K84" s="326"/>
      <c r="L84" s="326"/>
      <c r="M84" s="303"/>
      <c r="N84" s="304"/>
      <c r="O84" s="304"/>
      <c r="P84" s="304"/>
    </row>
    <row r="85" spans="1:16" ht="30" hidden="1">
      <c r="A85" s="296"/>
      <c r="B85" s="342" t="s">
        <v>1009</v>
      </c>
      <c r="C85" s="298" t="s">
        <v>965</v>
      </c>
      <c r="D85" s="324"/>
      <c r="E85" s="331"/>
      <c r="F85" s="304"/>
      <c r="G85" s="326"/>
      <c r="H85" s="302">
        <f t="shared" si="12"/>
        <v>0</v>
      </c>
      <c r="I85" s="302"/>
      <c r="J85" s="322"/>
      <c r="K85" s="326"/>
      <c r="L85" s="326"/>
      <c r="M85" s="303"/>
      <c r="N85" s="304"/>
      <c r="O85" s="304"/>
      <c r="P85" s="304"/>
    </row>
    <row r="86" spans="1:16" ht="30" hidden="1">
      <c r="A86" s="296"/>
      <c r="B86" s="342" t="s">
        <v>1010</v>
      </c>
      <c r="C86" s="298" t="s">
        <v>965</v>
      </c>
      <c r="D86" s="324"/>
      <c r="E86" s="331"/>
      <c r="F86" s="304"/>
      <c r="G86" s="326"/>
      <c r="H86" s="302">
        <f t="shared" si="12"/>
        <v>0</v>
      </c>
      <c r="I86" s="302"/>
      <c r="J86" s="322"/>
      <c r="K86" s="326"/>
      <c r="L86" s="326"/>
      <c r="M86" s="303"/>
      <c r="N86" s="304"/>
      <c r="O86" s="304"/>
      <c r="P86" s="304"/>
    </row>
    <row r="87" spans="1:16" ht="30" hidden="1">
      <c r="A87" s="296"/>
      <c r="B87" s="342" t="s">
        <v>1011</v>
      </c>
      <c r="C87" s="298" t="s">
        <v>965</v>
      </c>
      <c r="D87" s="343"/>
      <c r="E87" s="344"/>
      <c r="F87" s="304"/>
      <c r="G87" s="345"/>
      <c r="H87" s="302">
        <f t="shared" si="12"/>
        <v>0</v>
      </c>
      <c r="I87" s="302"/>
      <c r="J87" s="322"/>
      <c r="K87" s="345"/>
      <c r="L87" s="345"/>
      <c r="M87" s="303"/>
      <c r="N87" s="304"/>
      <c r="O87" s="304"/>
      <c r="P87" s="304"/>
    </row>
    <row r="88" spans="1:16" ht="30" hidden="1">
      <c r="A88" s="296"/>
      <c r="B88" s="342" t="s">
        <v>1012</v>
      </c>
      <c r="C88" s="298" t="s">
        <v>965</v>
      </c>
      <c r="D88" s="343"/>
      <c r="E88" s="344"/>
      <c r="F88" s="304"/>
      <c r="G88" s="345"/>
      <c r="H88" s="302">
        <f t="shared" si="12"/>
        <v>0</v>
      </c>
      <c r="I88" s="302"/>
      <c r="J88" s="322"/>
      <c r="K88" s="345"/>
      <c r="L88" s="345"/>
      <c r="M88" s="303"/>
      <c r="N88" s="304"/>
      <c r="O88" s="304"/>
      <c r="P88" s="304"/>
    </row>
    <row r="89" spans="1:16" ht="30" hidden="1">
      <c r="A89" s="296"/>
      <c r="B89" s="342" t="s">
        <v>1013</v>
      </c>
      <c r="C89" s="298" t="s">
        <v>965</v>
      </c>
      <c r="D89" s="343"/>
      <c r="E89" s="344"/>
      <c r="F89" s="304"/>
      <c r="G89" s="345"/>
      <c r="H89" s="302">
        <f t="shared" si="12"/>
        <v>0</v>
      </c>
      <c r="I89" s="302"/>
      <c r="J89" s="322"/>
      <c r="K89" s="345"/>
      <c r="L89" s="345"/>
      <c r="M89" s="303"/>
      <c r="N89" s="304"/>
      <c r="O89" s="304"/>
      <c r="P89" s="304"/>
    </row>
    <row r="90" spans="1:16" ht="15.75">
      <c r="A90" s="296"/>
      <c r="B90" s="346" t="s">
        <v>1014</v>
      </c>
      <c r="C90" s="343"/>
      <c r="D90" s="343"/>
      <c r="E90" s="347"/>
      <c r="F90" s="304"/>
      <c r="G90" s="348">
        <f>G10+G17</f>
        <v>11620.8</v>
      </c>
      <c r="H90" s="348">
        <f t="shared" ref="H90:L90" si="13">H10+H17</f>
        <v>11220.8</v>
      </c>
      <c r="I90" s="348">
        <f t="shared" si="13"/>
        <v>491.875</v>
      </c>
      <c r="J90" s="348" t="e">
        <f t="shared" si="13"/>
        <v>#VALUE!</v>
      </c>
      <c r="K90" s="348">
        <f t="shared" si="13"/>
        <v>8500.4</v>
      </c>
      <c r="L90" s="348">
        <f t="shared" si="13"/>
        <v>12832.1</v>
      </c>
      <c r="M90" s="303"/>
      <c r="N90" s="304"/>
      <c r="O90" s="304"/>
      <c r="P90" s="304"/>
    </row>
    <row r="91" spans="1:16" ht="15.75">
      <c r="A91" s="296"/>
      <c r="B91" s="305" t="s">
        <v>954</v>
      </c>
      <c r="C91" s="298"/>
      <c r="D91" s="343"/>
      <c r="E91" s="1030" t="s">
        <v>208</v>
      </c>
      <c r="F91" s="304"/>
      <c r="G91" s="327">
        <f>G14+G23</f>
        <v>162.5</v>
      </c>
      <c r="H91" s="327">
        <f t="shared" ref="H91:L91" si="14">H14+H23</f>
        <v>-237.5</v>
      </c>
      <c r="I91" s="327">
        <f t="shared" si="14"/>
        <v>40.625</v>
      </c>
      <c r="J91" s="327">
        <f t="shared" si="14"/>
        <v>0</v>
      </c>
      <c r="K91" s="327">
        <f t="shared" si="14"/>
        <v>130</v>
      </c>
      <c r="L91" s="327">
        <f t="shared" si="14"/>
        <v>468.5</v>
      </c>
      <c r="M91" s="303"/>
      <c r="N91" s="304"/>
      <c r="O91" s="304"/>
      <c r="P91" s="304"/>
    </row>
    <row r="92" spans="1:16" ht="15.75">
      <c r="A92" s="296"/>
      <c r="B92" s="305" t="s">
        <v>958</v>
      </c>
      <c r="C92" s="298"/>
      <c r="D92" s="343"/>
      <c r="E92" s="1031"/>
      <c r="F92" s="304"/>
      <c r="G92" s="327">
        <f>G15+G24</f>
        <v>3093.7000000000003</v>
      </c>
      <c r="H92" s="327">
        <f t="shared" ref="H92:L92" si="15">H15+H24</f>
        <v>3093.7000000000003</v>
      </c>
      <c r="I92" s="327">
        <f t="shared" si="15"/>
        <v>0</v>
      </c>
      <c r="J92" s="327">
        <f t="shared" si="15"/>
        <v>0</v>
      </c>
      <c r="K92" s="327">
        <f t="shared" si="15"/>
        <v>2260</v>
      </c>
      <c r="L92" s="327">
        <f t="shared" si="15"/>
        <v>3090.9</v>
      </c>
      <c r="M92" s="303"/>
      <c r="N92" s="304"/>
      <c r="O92" s="304"/>
      <c r="P92" s="304"/>
    </row>
    <row r="93" spans="1:16" ht="15.75">
      <c r="A93" s="296"/>
      <c r="B93" s="305" t="s">
        <v>960</v>
      </c>
      <c r="C93" s="298"/>
      <c r="D93" s="343"/>
      <c r="E93" s="1032"/>
      <c r="F93" s="304"/>
      <c r="G93" s="327">
        <f>G16+G25</f>
        <v>8364.6</v>
      </c>
      <c r="H93" s="327">
        <f t="shared" ref="H93:L93" si="16">H16+H25</f>
        <v>8364.6</v>
      </c>
      <c r="I93" s="327">
        <f t="shared" si="16"/>
        <v>0</v>
      </c>
      <c r="J93" s="327">
        <f t="shared" si="16"/>
        <v>0</v>
      </c>
      <c r="K93" s="327">
        <f t="shared" si="16"/>
        <v>6110.4</v>
      </c>
      <c r="L93" s="327">
        <f t="shared" si="16"/>
        <v>9272.7000000000007</v>
      </c>
      <c r="M93" s="303"/>
      <c r="N93" s="304"/>
      <c r="O93" s="304"/>
      <c r="P93" s="304"/>
    </row>
  </sheetData>
  <mergeCells count="50">
    <mergeCell ref="A3:P3"/>
    <mergeCell ref="A4:P4"/>
    <mergeCell ref="A6:A8"/>
    <mergeCell ref="B6:B8"/>
    <mergeCell ref="C6:E7"/>
    <mergeCell ref="F6:L7"/>
    <mergeCell ref="M6:M8"/>
    <mergeCell ref="N6:P7"/>
    <mergeCell ref="A26:A29"/>
    <mergeCell ref="C26:C29"/>
    <mergeCell ref="D26:D29"/>
    <mergeCell ref="E26:E29"/>
    <mergeCell ref="J10:J16"/>
    <mergeCell ref="C13:C16"/>
    <mergeCell ref="D13:D16"/>
    <mergeCell ref="E13:E16"/>
    <mergeCell ref="A18:A21"/>
    <mergeCell ref="E18:E21"/>
    <mergeCell ref="A22:A25"/>
    <mergeCell ref="C22:C25"/>
    <mergeCell ref="D22:D25"/>
    <mergeCell ref="E22:E25"/>
    <mergeCell ref="A13:A16"/>
    <mergeCell ref="C18:C21"/>
    <mergeCell ref="D42:D45"/>
    <mergeCell ref="E42:E45"/>
    <mergeCell ref="A30:A33"/>
    <mergeCell ref="C30:C33"/>
    <mergeCell ref="D30:D33"/>
    <mergeCell ref="E30:E33"/>
    <mergeCell ref="A34:A37"/>
    <mergeCell ref="C34:C37"/>
    <mergeCell ref="D34:D37"/>
    <mergeCell ref="E34:E37"/>
    <mergeCell ref="D18:D21"/>
    <mergeCell ref="E91:E93"/>
    <mergeCell ref="A46:A49"/>
    <mergeCell ref="C46:C49"/>
    <mergeCell ref="D46:D49"/>
    <mergeCell ref="E46:E49"/>
    <mergeCell ref="A50:A53"/>
    <mergeCell ref="C50:C53"/>
    <mergeCell ref="D50:D53"/>
    <mergeCell ref="E50:E53"/>
    <mergeCell ref="A38:A41"/>
    <mergeCell ref="C38:C41"/>
    <mergeCell ref="D38:D41"/>
    <mergeCell ref="E38:E41"/>
    <mergeCell ref="A42:A45"/>
    <mergeCell ref="C42:C45"/>
  </mergeCells>
  <pageMargins left="0.51181102362204722" right="0" top="0.15748031496062992" bottom="0.15748031496062992" header="0.31496062992125984" footer="0.31496062992125984"/>
  <pageSetup paperSize="9" scale="70" orientation="landscape"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I84"/>
  <sheetViews>
    <sheetView tabSelected="1" zoomScale="90" zoomScaleNormal="90" workbookViewId="0">
      <pane xSplit="2" ySplit="7" topLeftCell="C8" activePane="bottomRight" state="frozen"/>
      <selection pane="topRight" activeCell="C1" sqref="C1"/>
      <selection pane="bottomLeft" activeCell="A9" sqref="A9"/>
      <selection pane="bottomRight" activeCell="D83" sqref="D83"/>
    </sheetView>
  </sheetViews>
  <sheetFormatPr defaultColWidth="9.140625" defaultRowHeight="18.75"/>
  <cols>
    <col min="1" max="1" width="8.28515625" style="1056" customWidth="1"/>
    <col min="2" max="2" width="54.7109375" style="9" customWidth="1"/>
    <col min="3" max="3" width="11.5703125" style="11" customWidth="1"/>
    <col min="4" max="4" width="12" style="11" customWidth="1"/>
    <col min="5" max="5" width="16.140625" style="11" customWidth="1"/>
    <col min="6" max="6" width="11.5703125" style="11" customWidth="1"/>
    <col min="7" max="7" width="11.28515625" style="11" customWidth="1"/>
    <col min="8" max="8" width="11.42578125" style="11" customWidth="1"/>
    <col min="9" max="9" width="50.85546875" style="1056" hidden="1" customWidth="1"/>
    <col min="10" max="16384" width="9.140625" style="11"/>
  </cols>
  <sheetData>
    <row r="1" spans="1:9" ht="18.75" customHeight="1">
      <c r="F1" s="1057" t="s">
        <v>1488</v>
      </c>
      <c r="G1" s="1057"/>
      <c r="H1" s="1057"/>
      <c r="I1" s="1058" t="s">
        <v>1488</v>
      </c>
    </row>
    <row r="2" spans="1:9">
      <c r="F2" s="1057" t="s">
        <v>49</v>
      </c>
      <c r="G2" s="1057"/>
      <c r="H2" s="1057"/>
      <c r="I2" s="1058" t="s">
        <v>49</v>
      </c>
    </row>
    <row r="3" spans="1:9">
      <c r="A3" s="1059" t="s">
        <v>1128</v>
      </c>
      <c r="B3" s="1059"/>
      <c r="C3" s="1059"/>
      <c r="D3" s="1059"/>
      <c r="E3" s="1059"/>
      <c r="F3" s="1059"/>
      <c r="G3" s="1059"/>
      <c r="H3" s="1059"/>
    </row>
    <row r="5" spans="1:9" ht="30.75" customHeight="1">
      <c r="A5" s="1060" t="s">
        <v>16</v>
      </c>
      <c r="B5" s="1061" t="s">
        <v>1129</v>
      </c>
      <c r="C5" s="1062" t="s">
        <v>0</v>
      </c>
      <c r="D5" s="1062"/>
      <c r="E5" s="1062"/>
      <c r="F5" s="831" t="s">
        <v>609</v>
      </c>
      <c r="G5" s="831"/>
      <c r="H5" s="831"/>
      <c r="I5" s="1063" t="s">
        <v>1429</v>
      </c>
    </row>
    <row r="6" spans="1:9" ht="72" customHeight="1">
      <c r="A6" s="1064"/>
      <c r="B6" s="1065"/>
      <c r="C6" s="1063" t="s">
        <v>3</v>
      </c>
      <c r="D6" s="1063" t="s">
        <v>4</v>
      </c>
      <c r="E6" s="1063" t="s">
        <v>5</v>
      </c>
      <c r="F6" s="831"/>
      <c r="G6" s="831"/>
      <c r="H6" s="831"/>
      <c r="I6" s="1066"/>
    </row>
    <row r="7" spans="1:9" ht="31.5">
      <c r="A7" s="1067"/>
      <c r="B7" s="1068"/>
      <c r="C7" s="1069"/>
      <c r="D7" s="1069"/>
      <c r="E7" s="1069"/>
      <c r="F7" s="744" t="s">
        <v>222</v>
      </c>
      <c r="G7" s="744" t="s">
        <v>314</v>
      </c>
      <c r="H7" s="744" t="s">
        <v>425</v>
      </c>
      <c r="I7" s="1069"/>
    </row>
    <row r="8" spans="1:9">
      <c r="A8" s="1053">
        <v>1</v>
      </c>
      <c r="B8" s="825" t="s">
        <v>52</v>
      </c>
      <c r="C8" s="565" t="s">
        <v>7</v>
      </c>
      <c r="D8" s="1054" t="s">
        <v>8</v>
      </c>
      <c r="E8" s="1054" t="s">
        <v>178</v>
      </c>
      <c r="F8" s="566">
        <f>F9+F11+F14+F10+F12+F13</f>
        <v>81303.199999999983</v>
      </c>
      <c r="G8" s="566">
        <f t="shared" ref="G8:H8" si="0">G9+G11+G14+G10+G12+G13</f>
        <v>100147.6</v>
      </c>
      <c r="H8" s="566">
        <f t="shared" si="0"/>
        <v>111702.6</v>
      </c>
      <c r="I8" s="567"/>
    </row>
    <row r="9" spans="1:9">
      <c r="A9" s="1053"/>
      <c r="B9" s="825"/>
      <c r="C9" s="568" t="s">
        <v>1550</v>
      </c>
      <c r="D9" s="1055"/>
      <c r="E9" s="1055"/>
      <c r="F9" s="566">
        <f>F16+F24+F48+F62+F64+F66+F34</f>
        <v>48624.5</v>
      </c>
      <c r="G9" s="566">
        <f>G16+G24+G48+G62+G64+G66+G34</f>
        <v>45780.200000000004</v>
      </c>
      <c r="H9" s="566">
        <f>H16+H24+H48+H62+H64+H66+H34</f>
        <v>44478.200000000004</v>
      </c>
      <c r="I9" s="567"/>
    </row>
    <row r="10" spans="1:9">
      <c r="A10" s="1053"/>
      <c r="B10" s="825"/>
      <c r="C10" s="568" t="s">
        <v>1551</v>
      </c>
      <c r="D10" s="1055"/>
      <c r="E10" s="1055"/>
      <c r="F10" s="566">
        <f>F36+F43+F75</f>
        <v>13632.6</v>
      </c>
      <c r="G10" s="566">
        <f>G36+G43+G75</f>
        <v>36296.6</v>
      </c>
      <c r="H10" s="566">
        <f>H36+H43+H75</f>
        <v>49914.7</v>
      </c>
      <c r="I10" s="567"/>
    </row>
    <row r="11" spans="1:9">
      <c r="A11" s="1053"/>
      <c r="B11" s="825"/>
      <c r="C11" s="568" t="s">
        <v>1553</v>
      </c>
      <c r="D11" s="1055"/>
      <c r="E11" s="1055"/>
      <c r="F11" s="566">
        <f>F18</f>
        <v>4518.6000000000004</v>
      </c>
      <c r="G11" s="566">
        <f>G18</f>
        <v>4280.4000000000005</v>
      </c>
      <c r="H11" s="566">
        <f>H18</f>
        <v>4100.2</v>
      </c>
      <c r="I11" s="567"/>
    </row>
    <row r="12" spans="1:9">
      <c r="A12" s="1053"/>
      <c r="B12" s="825"/>
      <c r="C12" s="568" t="s">
        <v>1552</v>
      </c>
      <c r="D12" s="1055"/>
      <c r="E12" s="1055"/>
      <c r="F12" s="566">
        <f>F53</f>
        <v>10.4</v>
      </c>
      <c r="G12" s="566">
        <f>G53</f>
        <v>0</v>
      </c>
      <c r="H12" s="566">
        <f>H53</f>
        <v>0</v>
      </c>
      <c r="I12" s="567"/>
    </row>
    <row r="13" spans="1:9">
      <c r="A13" s="1053"/>
      <c r="B13" s="825"/>
      <c r="C13" s="568" t="s">
        <v>1554</v>
      </c>
      <c r="D13" s="1055"/>
      <c r="E13" s="1055"/>
      <c r="F13" s="566">
        <f>F46</f>
        <v>12026.4</v>
      </c>
      <c r="G13" s="566">
        <f>G46</f>
        <v>11425.1</v>
      </c>
      <c r="H13" s="566">
        <f>H46</f>
        <v>10944</v>
      </c>
      <c r="I13" s="567"/>
    </row>
    <row r="14" spans="1:9">
      <c r="A14" s="1053"/>
      <c r="B14" s="825"/>
      <c r="C14" s="569" t="s">
        <v>1555</v>
      </c>
      <c r="D14" s="1055"/>
      <c r="E14" s="1055"/>
      <c r="F14" s="566">
        <f>F39</f>
        <v>2490.6999999999998</v>
      </c>
      <c r="G14" s="566">
        <f>G39</f>
        <v>2365.3000000000002</v>
      </c>
      <c r="H14" s="566">
        <f>H39</f>
        <v>2265.5</v>
      </c>
      <c r="I14" s="567"/>
    </row>
    <row r="15" spans="1:9" ht="48">
      <c r="A15" s="745" t="s">
        <v>18</v>
      </c>
      <c r="B15" s="461" t="s">
        <v>65</v>
      </c>
      <c r="C15" s="570"/>
      <c r="D15" s="565" t="s">
        <v>66</v>
      </c>
      <c r="E15" s="565" t="s">
        <v>178</v>
      </c>
      <c r="F15" s="566">
        <f>F16</f>
        <v>1818.4</v>
      </c>
      <c r="G15" s="566">
        <f>G16</f>
        <v>1727.5</v>
      </c>
      <c r="H15" s="566">
        <f>H16</f>
        <v>1654.7</v>
      </c>
      <c r="I15" s="567"/>
    </row>
    <row r="16" spans="1:9" ht="18.75" customHeight="1">
      <c r="A16" s="745" t="s">
        <v>81</v>
      </c>
      <c r="B16" s="7" t="s">
        <v>1549</v>
      </c>
      <c r="C16" s="111">
        <v>921</v>
      </c>
      <c r="D16" s="571" t="s">
        <v>66</v>
      </c>
      <c r="E16" s="571" t="s">
        <v>185</v>
      </c>
      <c r="F16" s="115">
        <v>1818.4</v>
      </c>
      <c r="G16" s="115">
        <v>1727.5</v>
      </c>
      <c r="H16" s="572">
        <v>1654.7</v>
      </c>
      <c r="I16" s="462"/>
    </row>
    <row r="17" spans="1:9" ht="64.5" customHeight="1">
      <c r="A17" s="745" t="s">
        <v>24</v>
      </c>
      <c r="B17" s="461" t="s">
        <v>68</v>
      </c>
      <c r="C17" s="570"/>
      <c r="D17" s="565" t="s">
        <v>64</v>
      </c>
      <c r="E17" s="565" t="s">
        <v>178</v>
      </c>
      <c r="F17" s="566">
        <f>F18</f>
        <v>4518.6000000000004</v>
      </c>
      <c r="G17" s="566">
        <f>G18</f>
        <v>4280.4000000000005</v>
      </c>
      <c r="H17" s="566">
        <f>H18</f>
        <v>4100.2</v>
      </c>
      <c r="I17" s="567"/>
    </row>
    <row r="18" spans="1:9" ht="18" customHeight="1">
      <c r="A18" s="745" t="s">
        <v>163</v>
      </c>
      <c r="B18" s="7" t="s">
        <v>1540</v>
      </c>
      <c r="C18" s="111">
        <v>924</v>
      </c>
      <c r="D18" s="571" t="s">
        <v>64</v>
      </c>
      <c r="E18" s="573" t="s">
        <v>178</v>
      </c>
      <c r="F18" s="572">
        <f>F19+F20+F21</f>
        <v>4518.6000000000004</v>
      </c>
      <c r="G18" s="572">
        <f t="shared" ref="G18:H18" si="1">G19+G20+G21</f>
        <v>4280.4000000000005</v>
      </c>
      <c r="H18" s="572">
        <f t="shared" si="1"/>
        <v>4100.2</v>
      </c>
      <c r="I18" s="462"/>
    </row>
    <row r="19" spans="1:9" ht="24" customHeight="1">
      <c r="A19" s="745" t="s">
        <v>1430</v>
      </c>
      <c r="B19" s="7" t="s">
        <v>1131</v>
      </c>
      <c r="C19" s="111"/>
      <c r="D19" s="571" t="s">
        <v>64</v>
      </c>
      <c r="E19" s="573" t="s">
        <v>187</v>
      </c>
      <c r="F19" s="115">
        <v>2516.4</v>
      </c>
      <c r="G19" s="572">
        <v>2390.6</v>
      </c>
      <c r="H19" s="572">
        <v>2289.9</v>
      </c>
      <c r="I19" s="462"/>
    </row>
    <row r="20" spans="1:9" ht="21" customHeight="1">
      <c r="A20" s="745" t="s">
        <v>1431</v>
      </c>
      <c r="B20" s="7" t="s">
        <v>1432</v>
      </c>
      <c r="C20" s="111"/>
      <c r="D20" s="571" t="s">
        <v>64</v>
      </c>
      <c r="E20" s="573" t="s">
        <v>183</v>
      </c>
      <c r="F20" s="572">
        <f>1815.9+141.3</f>
        <v>1957.2</v>
      </c>
      <c r="G20" s="572">
        <f>1725.1+121.9</f>
        <v>1847</v>
      </c>
      <c r="H20" s="572">
        <f>1652.5+116.8</f>
        <v>1769.3</v>
      </c>
      <c r="I20" s="462"/>
    </row>
    <row r="21" spans="1:9" ht="32.25" customHeight="1">
      <c r="A21" s="745" t="s">
        <v>1433</v>
      </c>
      <c r="B21" s="7" t="s">
        <v>1434</v>
      </c>
      <c r="C21" s="111"/>
      <c r="D21" s="571" t="s">
        <v>64</v>
      </c>
      <c r="E21" s="571" t="s">
        <v>182</v>
      </c>
      <c r="F21" s="572">
        <v>45</v>
      </c>
      <c r="G21" s="572">
        <v>42.8</v>
      </c>
      <c r="H21" s="572">
        <v>41</v>
      </c>
      <c r="I21" s="462" t="s">
        <v>1132</v>
      </c>
    </row>
    <row r="22" spans="1:9" ht="48">
      <c r="A22" s="745" t="s">
        <v>426</v>
      </c>
      <c r="B22" s="461" t="s">
        <v>1133</v>
      </c>
      <c r="C22" s="570"/>
      <c r="D22" s="565" t="s">
        <v>63</v>
      </c>
      <c r="E22" s="565" t="s">
        <v>178</v>
      </c>
      <c r="F22" s="566">
        <f>F23+F24</f>
        <v>34471.200000000004</v>
      </c>
      <c r="G22" s="566">
        <f t="shared" ref="G22:H22" si="2">G23+G24</f>
        <v>32673.4</v>
      </c>
      <c r="H22" s="566">
        <f t="shared" si="2"/>
        <v>31431.3</v>
      </c>
      <c r="I22" s="567"/>
    </row>
    <row r="23" spans="1:9" ht="131.25" hidden="1" customHeight="1">
      <c r="A23" s="745"/>
      <c r="B23" s="7" t="s">
        <v>1134</v>
      </c>
      <c r="C23" s="111">
        <v>901</v>
      </c>
      <c r="D23" s="571" t="s">
        <v>63</v>
      </c>
      <c r="E23" s="571" t="s">
        <v>1135</v>
      </c>
      <c r="F23" s="572">
        <v>0</v>
      </c>
      <c r="G23" s="572">
        <v>0</v>
      </c>
      <c r="H23" s="572">
        <v>0</v>
      </c>
      <c r="I23" s="462" t="s">
        <v>1136</v>
      </c>
    </row>
    <row r="24" spans="1:9" ht="31.5">
      <c r="A24" s="574" t="s">
        <v>1435</v>
      </c>
      <c r="B24" s="7" t="s">
        <v>1557</v>
      </c>
      <c r="C24" s="111">
        <v>921</v>
      </c>
      <c r="D24" s="571" t="s">
        <v>63</v>
      </c>
      <c r="E24" s="571" t="s">
        <v>178</v>
      </c>
      <c r="F24" s="104">
        <f>F25+F27+F28+F31+F29+F26+F30+F32</f>
        <v>34471.200000000004</v>
      </c>
      <c r="G24" s="104">
        <f t="shared" ref="G24:H24" si="3">G25+G27+G28+G31+G29+G26+G30+G32</f>
        <v>32673.4</v>
      </c>
      <c r="H24" s="104">
        <f t="shared" si="3"/>
        <v>31431.3</v>
      </c>
      <c r="I24" s="462"/>
    </row>
    <row r="25" spans="1:9" ht="22.5" customHeight="1">
      <c r="A25" s="745" t="s">
        <v>1436</v>
      </c>
      <c r="B25" s="7" t="s">
        <v>1437</v>
      </c>
      <c r="C25" s="111"/>
      <c r="D25" s="571" t="s">
        <v>63</v>
      </c>
      <c r="E25" s="571" t="s">
        <v>183</v>
      </c>
      <c r="F25" s="572">
        <v>30888.5</v>
      </c>
      <c r="G25" s="572">
        <v>29115.4</v>
      </c>
      <c r="H25" s="572">
        <v>27893.1</v>
      </c>
      <c r="I25" s="462"/>
    </row>
    <row r="26" spans="1:9" ht="18.75" customHeight="1">
      <c r="A26" s="745" t="s">
        <v>1438</v>
      </c>
      <c r="B26" s="7" t="s">
        <v>1558</v>
      </c>
      <c r="C26" s="111"/>
      <c r="D26" s="571" t="s">
        <v>63</v>
      </c>
      <c r="E26" s="571" t="s">
        <v>182</v>
      </c>
      <c r="F26" s="572">
        <v>494</v>
      </c>
      <c r="G26" s="572">
        <v>469.3</v>
      </c>
      <c r="H26" s="572">
        <v>449.5</v>
      </c>
      <c r="I26" s="462"/>
    </row>
    <row r="27" spans="1:9" ht="36" customHeight="1">
      <c r="A27" s="745" t="s">
        <v>1439</v>
      </c>
      <c r="B27" s="7" t="s">
        <v>1137</v>
      </c>
      <c r="C27" s="111"/>
      <c r="D27" s="571" t="s">
        <v>63</v>
      </c>
      <c r="E27" s="571" t="s">
        <v>280</v>
      </c>
      <c r="F27" s="572">
        <v>1773.9</v>
      </c>
      <c r="G27" s="572">
        <v>1773.9</v>
      </c>
      <c r="H27" s="572">
        <v>1773.9</v>
      </c>
      <c r="I27" s="462"/>
    </row>
    <row r="28" spans="1:9" ht="49.5" customHeight="1">
      <c r="A28" s="745" t="s">
        <v>1440</v>
      </c>
      <c r="B28" s="7" t="s">
        <v>1138</v>
      </c>
      <c r="C28" s="111"/>
      <c r="D28" s="571" t="s">
        <v>63</v>
      </c>
      <c r="E28" s="571" t="s">
        <v>184</v>
      </c>
      <c r="F28" s="572">
        <v>494.7</v>
      </c>
      <c r="G28" s="572">
        <v>494.7</v>
      </c>
      <c r="H28" s="572">
        <v>494.7</v>
      </c>
      <c r="I28" s="462"/>
    </row>
    <row r="29" spans="1:9" ht="33" customHeight="1">
      <c r="A29" s="745" t="s">
        <v>1441</v>
      </c>
      <c r="B29" s="7" t="s">
        <v>1139</v>
      </c>
      <c r="C29" s="111"/>
      <c r="D29" s="571" t="s">
        <v>63</v>
      </c>
      <c r="E29" s="571" t="s">
        <v>279</v>
      </c>
      <c r="F29" s="572">
        <v>58.3</v>
      </c>
      <c r="G29" s="572">
        <v>58.3</v>
      </c>
      <c r="H29" s="572">
        <v>58.3</v>
      </c>
      <c r="I29" s="462"/>
    </row>
    <row r="30" spans="1:9" ht="51" customHeight="1">
      <c r="A30" s="745" t="s">
        <v>1442</v>
      </c>
      <c r="B30" s="7" t="s">
        <v>1140</v>
      </c>
      <c r="C30" s="111"/>
      <c r="D30" s="571" t="s">
        <v>63</v>
      </c>
      <c r="E30" s="571" t="s">
        <v>281</v>
      </c>
      <c r="F30" s="572">
        <v>208.1</v>
      </c>
      <c r="G30" s="572">
        <v>208.1</v>
      </c>
      <c r="H30" s="572">
        <v>208.1</v>
      </c>
      <c r="I30" s="462"/>
    </row>
    <row r="31" spans="1:9" ht="63.75" customHeight="1">
      <c r="A31" s="745" t="s">
        <v>1443</v>
      </c>
      <c r="B31" s="7" t="s">
        <v>1141</v>
      </c>
      <c r="C31" s="111"/>
      <c r="D31" s="571" t="s">
        <v>63</v>
      </c>
      <c r="E31" s="571" t="s">
        <v>282</v>
      </c>
      <c r="F31" s="572">
        <v>1.3</v>
      </c>
      <c r="G31" s="572">
        <v>1.3</v>
      </c>
      <c r="H31" s="572">
        <v>1.3</v>
      </c>
      <c r="I31" s="462"/>
    </row>
    <row r="32" spans="1:9" ht="47.25">
      <c r="A32" s="575" t="s">
        <v>1677</v>
      </c>
      <c r="B32" s="7" t="s">
        <v>1535</v>
      </c>
      <c r="C32" s="571"/>
      <c r="D32" s="571" t="s">
        <v>63</v>
      </c>
      <c r="E32" s="571" t="s">
        <v>1536</v>
      </c>
      <c r="F32" s="572">
        <v>552.4</v>
      </c>
      <c r="G32" s="572">
        <v>552.4</v>
      </c>
      <c r="H32" s="572">
        <v>552.4</v>
      </c>
      <c r="I32" s="577"/>
    </row>
    <row r="33" spans="1:9">
      <c r="A33" s="745" t="s">
        <v>1444</v>
      </c>
      <c r="B33" s="743" t="s">
        <v>1142</v>
      </c>
      <c r="C33" s="570"/>
      <c r="D33" s="565" t="s">
        <v>1143</v>
      </c>
      <c r="E33" s="565" t="s">
        <v>1145</v>
      </c>
      <c r="F33" s="582">
        <f>F34</f>
        <v>16.2</v>
      </c>
      <c r="G33" s="582">
        <f>G34</f>
        <v>11.8</v>
      </c>
      <c r="H33" s="582">
        <f>H34</f>
        <v>96.3</v>
      </c>
      <c r="I33" s="463"/>
    </row>
    <row r="34" spans="1:9" ht="66.75" customHeight="1">
      <c r="A34" s="745" t="s">
        <v>1445</v>
      </c>
      <c r="B34" s="742" t="s">
        <v>1559</v>
      </c>
      <c r="C34" s="111">
        <v>921</v>
      </c>
      <c r="D34" s="571" t="s">
        <v>1143</v>
      </c>
      <c r="E34" s="571" t="s">
        <v>1145</v>
      </c>
      <c r="F34" s="572">
        <v>16.2</v>
      </c>
      <c r="G34" s="572">
        <v>11.8</v>
      </c>
      <c r="H34" s="572">
        <v>96.3</v>
      </c>
      <c r="I34" s="462"/>
    </row>
    <row r="35" spans="1:9" ht="55.5" customHeight="1">
      <c r="A35" s="745" t="s">
        <v>1446</v>
      </c>
      <c r="B35" s="464" t="s">
        <v>67</v>
      </c>
      <c r="C35" s="570"/>
      <c r="D35" s="565" t="s">
        <v>62</v>
      </c>
      <c r="E35" s="565" t="s">
        <v>178</v>
      </c>
      <c r="F35" s="566">
        <f>F39+F36</f>
        <v>14623.3</v>
      </c>
      <c r="G35" s="566">
        <f>G39+G36</f>
        <v>13891.2</v>
      </c>
      <c r="H35" s="566">
        <f>H39+H36</f>
        <v>13306.1</v>
      </c>
      <c r="I35" s="463"/>
    </row>
    <row r="36" spans="1:9">
      <c r="A36" s="574" t="s">
        <v>1447</v>
      </c>
      <c r="B36" s="742" t="s">
        <v>1448</v>
      </c>
      <c r="C36" s="111">
        <v>923</v>
      </c>
      <c r="D36" s="571" t="s">
        <v>62</v>
      </c>
      <c r="E36" s="573" t="s">
        <v>178</v>
      </c>
      <c r="F36" s="572">
        <f>F37+F38</f>
        <v>12132.6</v>
      </c>
      <c r="G36" s="572">
        <f t="shared" ref="G36:H36" si="4">G37+G38</f>
        <v>11525.9</v>
      </c>
      <c r="H36" s="572">
        <f t="shared" si="4"/>
        <v>11040.6</v>
      </c>
      <c r="I36" s="462"/>
    </row>
    <row r="37" spans="1:9">
      <c r="A37" s="745" t="s">
        <v>1449</v>
      </c>
      <c r="B37" s="742" t="s">
        <v>1450</v>
      </c>
      <c r="C37" s="111"/>
      <c r="D37" s="571" t="s">
        <v>62</v>
      </c>
      <c r="E37" s="573" t="s">
        <v>183</v>
      </c>
      <c r="F37" s="572">
        <v>12123.6</v>
      </c>
      <c r="G37" s="572">
        <v>11517.4</v>
      </c>
      <c r="H37" s="572">
        <v>11032.4</v>
      </c>
      <c r="I37" s="462"/>
    </row>
    <row r="38" spans="1:9" ht="31.5">
      <c r="A38" s="745" t="s">
        <v>1453</v>
      </c>
      <c r="B38" s="7" t="s">
        <v>1454</v>
      </c>
      <c r="C38" s="111"/>
      <c r="D38" s="571" t="s">
        <v>62</v>
      </c>
      <c r="E38" s="573" t="s">
        <v>182</v>
      </c>
      <c r="F38" s="572">
        <v>9</v>
      </c>
      <c r="G38" s="572">
        <v>8.5</v>
      </c>
      <c r="H38" s="572">
        <v>8.1999999999999993</v>
      </c>
      <c r="I38" s="462"/>
    </row>
    <row r="39" spans="1:9">
      <c r="A39" s="745" t="s">
        <v>1455</v>
      </c>
      <c r="B39" s="742" t="s">
        <v>1146</v>
      </c>
      <c r="C39" s="111">
        <v>926</v>
      </c>
      <c r="D39" s="571" t="s">
        <v>62</v>
      </c>
      <c r="E39" s="573" t="s">
        <v>1147</v>
      </c>
      <c r="F39" s="572">
        <f>F40+F41</f>
        <v>2490.6999999999998</v>
      </c>
      <c r="G39" s="572">
        <f t="shared" ref="G39:H39" si="5">G40+G41</f>
        <v>2365.3000000000002</v>
      </c>
      <c r="H39" s="572">
        <f t="shared" si="5"/>
        <v>2265.5</v>
      </c>
      <c r="I39" s="462"/>
    </row>
    <row r="40" spans="1:9">
      <c r="A40" s="745" t="s">
        <v>1456</v>
      </c>
      <c r="B40" s="742" t="s">
        <v>1457</v>
      </c>
      <c r="C40" s="111"/>
      <c r="D40" s="571" t="s">
        <v>62</v>
      </c>
      <c r="E40" s="573" t="s">
        <v>188</v>
      </c>
      <c r="F40" s="572">
        <v>1132.9000000000001</v>
      </c>
      <c r="G40" s="572">
        <v>1076.3</v>
      </c>
      <c r="H40" s="572">
        <v>1030.9000000000001</v>
      </c>
      <c r="I40" s="462"/>
    </row>
    <row r="41" spans="1:9" ht="21" customHeight="1">
      <c r="A41" s="745" t="s">
        <v>1458</v>
      </c>
      <c r="B41" s="742" t="s">
        <v>1148</v>
      </c>
      <c r="C41" s="111"/>
      <c r="D41" s="571" t="s">
        <v>62</v>
      </c>
      <c r="E41" s="573" t="s">
        <v>1149</v>
      </c>
      <c r="F41" s="572">
        <v>1357.8</v>
      </c>
      <c r="G41" s="572">
        <v>1289</v>
      </c>
      <c r="H41" s="572">
        <v>1234.5999999999999</v>
      </c>
      <c r="I41" s="462"/>
    </row>
    <row r="42" spans="1:9" ht="18.75" customHeight="1">
      <c r="A42" s="745" t="s">
        <v>1459</v>
      </c>
      <c r="B42" s="464" t="s">
        <v>1678</v>
      </c>
      <c r="C42" s="570"/>
      <c r="D42" s="565" t="s">
        <v>1674</v>
      </c>
      <c r="E42" s="565" t="s">
        <v>178</v>
      </c>
      <c r="F42" s="566">
        <f>F43</f>
        <v>1500</v>
      </c>
      <c r="G42" s="566">
        <f t="shared" ref="G42:H43" si="6">G43</f>
        <v>1425</v>
      </c>
      <c r="H42" s="566">
        <f t="shared" si="6"/>
        <v>1365</v>
      </c>
      <c r="I42" s="463"/>
    </row>
    <row r="43" spans="1:9">
      <c r="A43" s="574" t="s">
        <v>1460</v>
      </c>
      <c r="B43" s="742" t="s">
        <v>1448</v>
      </c>
      <c r="C43" s="111">
        <v>923</v>
      </c>
      <c r="D43" s="571" t="s">
        <v>1674</v>
      </c>
      <c r="E43" s="573" t="s">
        <v>178</v>
      </c>
      <c r="F43" s="572">
        <f>F44</f>
        <v>1500</v>
      </c>
      <c r="G43" s="572">
        <f t="shared" si="6"/>
        <v>1425</v>
      </c>
      <c r="H43" s="572">
        <f t="shared" si="6"/>
        <v>1365</v>
      </c>
      <c r="I43" s="462"/>
    </row>
    <row r="44" spans="1:9">
      <c r="A44" s="745" t="s">
        <v>1463</v>
      </c>
      <c r="B44" s="7" t="s">
        <v>1451</v>
      </c>
      <c r="C44" s="111"/>
      <c r="D44" s="571" t="s">
        <v>1674</v>
      </c>
      <c r="E44" s="573" t="s">
        <v>1452</v>
      </c>
      <c r="F44" s="572">
        <v>1500</v>
      </c>
      <c r="G44" s="572">
        <v>1425</v>
      </c>
      <c r="H44" s="572">
        <v>1365</v>
      </c>
      <c r="I44" s="462"/>
    </row>
    <row r="45" spans="1:9">
      <c r="A45" s="575" t="s">
        <v>1473</v>
      </c>
      <c r="B45" s="461" t="s">
        <v>61</v>
      </c>
      <c r="C45" s="565"/>
      <c r="D45" s="565" t="s">
        <v>10</v>
      </c>
      <c r="E45" s="565" t="s">
        <v>178</v>
      </c>
      <c r="F45" s="566">
        <f>F48+F46</f>
        <v>14929.3</v>
      </c>
      <c r="G45" s="566">
        <f t="shared" ref="G45:H45" si="7">G48+G46</f>
        <v>14516.3</v>
      </c>
      <c r="H45" s="566">
        <f t="shared" si="7"/>
        <v>14252.6</v>
      </c>
      <c r="I45" s="576"/>
    </row>
    <row r="46" spans="1:9" ht="19.5" customHeight="1">
      <c r="A46" s="575" t="s">
        <v>1474</v>
      </c>
      <c r="B46" s="7" t="s">
        <v>1461</v>
      </c>
      <c r="C46" s="111">
        <v>923</v>
      </c>
      <c r="D46" s="571" t="s">
        <v>10</v>
      </c>
      <c r="E46" s="571" t="s">
        <v>1462</v>
      </c>
      <c r="F46" s="572">
        <f>F47</f>
        <v>12026.4</v>
      </c>
      <c r="G46" s="572">
        <f t="shared" ref="G46:H46" si="8">G47</f>
        <v>11425.1</v>
      </c>
      <c r="H46" s="572">
        <f t="shared" si="8"/>
        <v>10944</v>
      </c>
      <c r="I46" s="577"/>
    </row>
    <row r="47" spans="1:9" ht="21.75" customHeight="1">
      <c r="A47" s="575" t="s">
        <v>1476</v>
      </c>
      <c r="B47" s="7" t="s">
        <v>1464</v>
      </c>
      <c r="C47" s="111"/>
      <c r="D47" s="571" t="s">
        <v>10</v>
      </c>
      <c r="E47" s="571" t="s">
        <v>1465</v>
      </c>
      <c r="F47" s="572">
        <v>12026.4</v>
      </c>
      <c r="G47" s="572">
        <v>11425.1</v>
      </c>
      <c r="H47" s="572">
        <v>10944</v>
      </c>
      <c r="I47" s="577"/>
    </row>
    <row r="48" spans="1:9" ht="31.5">
      <c r="A48" s="575" t="s">
        <v>1679</v>
      </c>
      <c r="B48" s="7" t="s">
        <v>1557</v>
      </c>
      <c r="C48" s="571" t="s">
        <v>1084</v>
      </c>
      <c r="D48" s="571" t="s">
        <v>10</v>
      </c>
      <c r="E48" s="573" t="s">
        <v>1466</v>
      </c>
      <c r="F48" s="572">
        <f>F50+F49+F51</f>
        <v>2902.9</v>
      </c>
      <c r="G48" s="572">
        <f t="shared" ref="G48:H48" si="9">G50+G49+G51</f>
        <v>3091.2</v>
      </c>
      <c r="H48" s="572">
        <f t="shared" si="9"/>
        <v>3308.6000000000004</v>
      </c>
      <c r="I48" s="577"/>
    </row>
    <row r="49" spans="1:9" ht="24" customHeight="1">
      <c r="A49" s="575" t="s">
        <v>1680</v>
      </c>
      <c r="B49" s="466" t="s">
        <v>1467</v>
      </c>
      <c r="C49" s="111"/>
      <c r="D49" s="571" t="s">
        <v>10</v>
      </c>
      <c r="E49" s="571" t="s">
        <v>1468</v>
      </c>
      <c r="F49" s="572">
        <v>280</v>
      </c>
      <c r="G49" s="572">
        <v>266</v>
      </c>
      <c r="H49" s="572">
        <v>254.8</v>
      </c>
      <c r="I49" s="462"/>
    </row>
    <row r="50" spans="1:9" ht="35.25" customHeight="1">
      <c r="A50" s="575" t="s">
        <v>1681</v>
      </c>
      <c r="B50" s="462" t="s">
        <v>1469</v>
      </c>
      <c r="C50" s="571"/>
      <c r="D50" s="571" t="s">
        <v>10</v>
      </c>
      <c r="E50" s="571" t="s">
        <v>1470</v>
      </c>
      <c r="F50" s="572">
        <v>400</v>
      </c>
      <c r="G50" s="572">
        <v>380</v>
      </c>
      <c r="H50" s="572">
        <v>364</v>
      </c>
      <c r="I50" s="462"/>
    </row>
    <row r="51" spans="1:9" ht="32.25" customHeight="1">
      <c r="A51" s="575" t="s">
        <v>1682</v>
      </c>
      <c r="B51" s="7" t="s">
        <v>1471</v>
      </c>
      <c r="C51" s="571"/>
      <c r="D51" s="571" t="s">
        <v>10</v>
      </c>
      <c r="E51" s="571" t="s">
        <v>1472</v>
      </c>
      <c r="F51" s="572">
        <v>2222.9</v>
      </c>
      <c r="G51" s="572">
        <v>2445.1999999999998</v>
      </c>
      <c r="H51" s="572">
        <v>2689.8</v>
      </c>
      <c r="I51" s="462"/>
    </row>
    <row r="52" spans="1:9">
      <c r="A52" s="745"/>
      <c r="B52" s="463" t="s">
        <v>1150</v>
      </c>
      <c r="C52" s="570"/>
      <c r="D52" s="565"/>
      <c r="E52" s="565"/>
      <c r="F52" s="566">
        <f>F15+F17+F22+F35+F45+F33+F42</f>
        <v>71877</v>
      </c>
      <c r="G52" s="566">
        <f t="shared" ref="G52:H52" si="10">G15+G17+G22+G35+G45+G33+G42</f>
        <v>68525.600000000006</v>
      </c>
      <c r="H52" s="566">
        <f t="shared" si="10"/>
        <v>66206.2</v>
      </c>
      <c r="I52" s="581"/>
    </row>
    <row r="53" spans="1:9">
      <c r="A53" s="575" t="s">
        <v>1481</v>
      </c>
      <c r="B53" s="461" t="s">
        <v>312</v>
      </c>
      <c r="C53" s="565"/>
      <c r="D53" s="565" t="s">
        <v>807</v>
      </c>
      <c r="E53" s="565" t="s">
        <v>178</v>
      </c>
      <c r="F53" s="566">
        <f>F54</f>
        <v>10.4</v>
      </c>
      <c r="G53" s="566">
        <f t="shared" ref="G53" si="11">G54</f>
        <v>0</v>
      </c>
      <c r="H53" s="566">
        <f>H54</f>
        <v>0</v>
      </c>
      <c r="I53" s="576"/>
    </row>
    <row r="54" spans="1:9" ht="20.25" customHeight="1">
      <c r="A54" s="575" t="s">
        <v>1482</v>
      </c>
      <c r="B54" s="462" t="s">
        <v>1475</v>
      </c>
      <c r="C54" s="571" t="s">
        <v>1556</v>
      </c>
      <c r="D54" s="571"/>
      <c r="E54" s="571" t="s">
        <v>180</v>
      </c>
      <c r="F54" s="578">
        <f>F55+F56</f>
        <v>10.4</v>
      </c>
      <c r="G54" s="572">
        <f>G55+G56</f>
        <v>0</v>
      </c>
      <c r="H54" s="572">
        <f>H55+H56</f>
        <v>0</v>
      </c>
      <c r="I54" s="462"/>
    </row>
    <row r="55" spans="1:9" ht="31.5" customHeight="1">
      <c r="A55" s="575" t="s">
        <v>1683</v>
      </c>
      <c r="B55" s="7" t="s">
        <v>1477</v>
      </c>
      <c r="C55" s="571"/>
      <c r="D55" s="571"/>
      <c r="E55" s="571" t="s">
        <v>177</v>
      </c>
      <c r="F55" s="578">
        <v>10.4</v>
      </c>
      <c r="G55" s="572"/>
      <c r="H55" s="572"/>
      <c r="I55" s="462"/>
    </row>
    <row r="56" spans="1:9" ht="38.25" hidden="1" customHeight="1">
      <c r="A56" s="575" t="s">
        <v>1478</v>
      </c>
      <c r="B56" s="466" t="s">
        <v>1479</v>
      </c>
      <c r="C56" s="571"/>
      <c r="D56" s="571"/>
      <c r="E56" s="571" t="s">
        <v>176</v>
      </c>
      <c r="F56" s="578">
        <v>0</v>
      </c>
      <c r="G56" s="572">
        <v>0</v>
      </c>
      <c r="H56" s="572">
        <v>0</v>
      </c>
      <c r="I56" s="462"/>
    </row>
    <row r="57" spans="1:9">
      <c r="A57" s="745"/>
      <c r="B57" s="463" t="s">
        <v>1480</v>
      </c>
      <c r="C57" s="570"/>
      <c r="D57" s="565"/>
      <c r="E57" s="565"/>
      <c r="F57" s="566">
        <f>F53</f>
        <v>10.4</v>
      </c>
      <c r="G57" s="566">
        <f t="shared" ref="G57:H57" si="12">G53</f>
        <v>0</v>
      </c>
      <c r="H57" s="566">
        <f t="shared" si="12"/>
        <v>0</v>
      </c>
      <c r="I57" s="581"/>
    </row>
    <row r="58" spans="1:9" hidden="1">
      <c r="A58" s="745"/>
      <c r="B58" s="579" t="s">
        <v>71</v>
      </c>
      <c r="C58" s="570"/>
      <c r="D58" s="571" t="s">
        <v>70</v>
      </c>
      <c r="E58" s="571" t="s">
        <v>1144</v>
      </c>
      <c r="F58" s="104">
        <f>F60+F59</f>
        <v>0</v>
      </c>
      <c r="G58" s="104">
        <f>G60+G59</f>
        <v>0</v>
      </c>
      <c r="H58" s="572" t="e">
        <f t="shared" ref="H58" si="13">G58/F58*100</f>
        <v>#DIV/0!</v>
      </c>
      <c r="I58" s="577"/>
    </row>
    <row r="59" spans="1:9" ht="48" hidden="1">
      <c r="A59" s="745"/>
      <c r="B59" s="579" t="s">
        <v>1151</v>
      </c>
      <c r="C59" s="111">
        <v>905</v>
      </c>
      <c r="D59" s="571" t="s">
        <v>70</v>
      </c>
      <c r="E59" s="571" t="s">
        <v>1152</v>
      </c>
      <c r="F59" s="104"/>
      <c r="G59" s="104"/>
      <c r="H59" s="572"/>
      <c r="I59" s="577" t="s">
        <v>1153</v>
      </c>
    </row>
    <row r="60" spans="1:9" ht="87" hidden="1" customHeight="1">
      <c r="A60" s="745"/>
      <c r="B60" s="7" t="s">
        <v>1154</v>
      </c>
      <c r="C60" s="111">
        <v>901</v>
      </c>
      <c r="D60" s="571" t="s">
        <v>70</v>
      </c>
      <c r="E60" s="571" t="s">
        <v>1155</v>
      </c>
      <c r="F60" s="572">
        <v>0</v>
      </c>
      <c r="G60" s="572">
        <v>0</v>
      </c>
      <c r="H60" s="572">
        <v>0</v>
      </c>
      <c r="I60" s="577"/>
    </row>
    <row r="61" spans="1:9" hidden="1">
      <c r="A61" s="745"/>
      <c r="B61" s="579" t="s">
        <v>60</v>
      </c>
      <c r="C61" s="111"/>
      <c r="D61" s="571" t="s">
        <v>20</v>
      </c>
      <c r="E61" s="571" t="s">
        <v>181</v>
      </c>
      <c r="F61" s="572">
        <f>F62</f>
        <v>0</v>
      </c>
      <c r="G61" s="572">
        <f t="shared" ref="G61:H61" si="14">G62</f>
        <v>0</v>
      </c>
      <c r="H61" s="572">
        <f t="shared" si="14"/>
        <v>0</v>
      </c>
      <c r="I61" s="577"/>
    </row>
    <row r="62" spans="1:9" ht="48" hidden="1">
      <c r="A62" s="745"/>
      <c r="B62" s="7" t="s">
        <v>1156</v>
      </c>
      <c r="C62" s="111">
        <v>902</v>
      </c>
      <c r="D62" s="571" t="s">
        <v>20</v>
      </c>
      <c r="E62" s="571" t="s">
        <v>1157</v>
      </c>
      <c r="F62" s="572">
        <v>0</v>
      </c>
      <c r="G62" s="572">
        <v>0</v>
      </c>
      <c r="H62" s="572">
        <v>0</v>
      </c>
      <c r="I62" s="577" t="s">
        <v>1158</v>
      </c>
    </row>
    <row r="63" spans="1:9">
      <c r="A63" s="745" t="s">
        <v>1483</v>
      </c>
      <c r="B63" s="465" t="s">
        <v>55</v>
      </c>
      <c r="C63" s="570"/>
      <c r="D63" s="565" t="s">
        <v>56</v>
      </c>
      <c r="E63" s="565" t="s">
        <v>180</v>
      </c>
      <c r="F63" s="580">
        <f>F64</f>
        <v>7225.2</v>
      </c>
      <c r="G63" s="580">
        <f>G64</f>
        <v>6863.9</v>
      </c>
      <c r="H63" s="580">
        <f>H64</f>
        <v>6574.9</v>
      </c>
      <c r="I63" s="581"/>
    </row>
    <row r="64" spans="1:9" ht="18.75" customHeight="1">
      <c r="A64" s="745" t="s">
        <v>1484</v>
      </c>
      <c r="B64" s="7" t="s">
        <v>1549</v>
      </c>
      <c r="C64" s="111">
        <v>921</v>
      </c>
      <c r="D64" s="571" t="s">
        <v>56</v>
      </c>
      <c r="E64" s="571" t="s">
        <v>179</v>
      </c>
      <c r="F64" s="572">
        <v>7225.2</v>
      </c>
      <c r="G64" s="572">
        <v>6863.9</v>
      </c>
      <c r="H64" s="572">
        <v>6574.9</v>
      </c>
      <c r="I64" s="577"/>
    </row>
    <row r="65" spans="1:9">
      <c r="A65" s="745" t="s">
        <v>1684</v>
      </c>
      <c r="B65" s="465" t="s">
        <v>54</v>
      </c>
      <c r="C65" s="570"/>
      <c r="D65" s="565" t="s">
        <v>30</v>
      </c>
      <c r="E65" s="565" t="s">
        <v>178</v>
      </c>
      <c r="F65" s="582">
        <f>F66+F70</f>
        <v>2190.6000000000004</v>
      </c>
      <c r="G65" s="582">
        <f>G66+G70</f>
        <v>1412.4</v>
      </c>
      <c r="H65" s="582">
        <f>H66+H70</f>
        <v>1412.4</v>
      </c>
      <c r="I65" s="581"/>
    </row>
    <row r="66" spans="1:9" ht="31.5">
      <c r="A66" s="745" t="s">
        <v>1685</v>
      </c>
      <c r="B66" s="7" t="s">
        <v>1557</v>
      </c>
      <c r="C66" s="111">
        <v>921</v>
      </c>
      <c r="D66" s="571" t="s">
        <v>30</v>
      </c>
      <c r="E66" s="571" t="s">
        <v>178</v>
      </c>
      <c r="F66" s="572">
        <f>F67+F68+F69+F71+F72</f>
        <v>2190.6000000000004</v>
      </c>
      <c r="G66" s="572">
        <f t="shared" ref="G66:H66" si="15">G67+G68+G69+G71+G72</f>
        <v>1412.4</v>
      </c>
      <c r="H66" s="572">
        <f t="shared" si="15"/>
        <v>1412.4</v>
      </c>
      <c r="I66" s="577"/>
    </row>
    <row r="67" spans="1:9" ht="52.5" customHeight="1">
      <c r="A67" s="745" t="s">
        <v>1686</v>
      </c>
      <c r="B67" s="579" t="s">
        <v>1159</v>
      </c>
      <c r="C67" s="111"/>
      <c r="D67" s="571" t="s">
        <v>30</v>
      </c>
      <c r="E67" s="571" t="s">
        <v>1160</v>
      </c>
      <c r="F67" s="583">
        <v>317.10000000000002</v>
      </c>
      <c r="G67" s="583">
        <v>317.10000000000002</v>
      </c>
      <c r="H67" s="572">
        <v>317.10000000000002</v>
      </c>
      <c r="I67" s="577"/>
    </row>
    <row r="68" spans="1:9" ht="54" customHeight="1">
      <c r="A68" s="745" t="s">
        <v>1687</v>
      </c>
      <c r="B68" s="579" t="s">
        <v>1161</v>
      </c>
      <c r="C68" s="111"/>
      <c r="D68" s="571" t="s">
        <v>30</v>
      </c>
      <c r="E68" s="571" t="s">
        <v>1162</v>
      </c>
      <c r="F68" s="572">
        <v>317.10000000000002</v>
      </c>
      <c r="G68" s="572">
        <v>317.10000000000002</v>
      </c>
      <c r="H68" s="572">
        <v>317.10000000000002</v>
      </c>
      <c r="I68" s="577"/>
    </row>
    <row r="69" spans="1:9" hidden="1">
      <c r="A69" s="745"/>
      <c r="B69" s="579"/>
      <c r="C69" s="111"/>
      <c r="D69" s="571"/>
      <c r="E69" s="504"/>
      <c r="F69" s="572"/>
      <c r="G69" s="572"/>
      <c r="H69" s="572"/>
      <c r="I69" s="462"/>
    </row>
    <row r="70" spans="1:9" ht="66" hidden="1" customHeight="1">
      <c r="A70" s="745"/>
      <c r="B70" s="7" t="s">
        <v>1163</v>
      </c>
      <c r="C70" s="111"/>
      <c r="D70" s="571" t="s">
        <v>30</v>
      </c>
      <c r="E70" s="571" t="s">
        <v>1164</v>
      </c>
      <c r="F70" s="572"/>
      <c r="G70" s="572"/>
      <c r="H70" s="572"/>
      <c r="I70" s="577"/>
    </row>
    <row r="71" spans="1:9" ht="50.25" customHeight="1">
      <c r="A71" s="745" t="s">
        <v>1688</v>
      </c>
      <c r="B71" s="7" t="s">
        <v>1485</v>
      </c>
      <c r="C71" s="111"/>
      <c r="D71" s="571" t="s">
        <v>30</v>
      </c>
      <c r="E71" s="571" t="s">
        <v>1689</v>
      </c>
      <c r="F71" s="572">
        <v>1556.4</v>
      </c>
      <c r="G71" s="572"/>
      <c r="H71" s="572"/>
      <c r="I71" s="577"/>
    </row>
    <row r="72" spans="1:9" ht="66" customHeight="1">
      <c r="A72" s="745" t="s">
        <v>1690</v>
      </c>
      <c r="B72" s="7" t="s">
        <v>1486</v>
      </c>
      <c r="C72" s="111"/>
      <c r="D72" s="571" t="s">
        <v>30</v>
      </c>
      <c r="E72" s="571" t="s">
        <v>1487</v>
      </c>
      <c r="F72" s="572"/>
      <c r="G72" s="572">
        <v>778.2</v>
      </c>
      <c r="H72" s="572">
        <v>778.2</v>
      </c>
      <c r="I72" s="577"/>
    </row>
    <row r="73" spans="1:9">
      <c r="A73" s="745"/>
      <c r="B73" s="465" t="s">
        <v>1165</v>
      </c>
      <c r="C73" s="570"/>
      <c r="D73" s="565"/>
      <c r="E73" s="672"/>
      <c r="F73" s="582">
        <f>F63+F65</f>
        <v>9415.7999999999993</v>
      </c>
      <c r="G73" s="582">
        <f t="shared" ref="G73:H73" si="16">G63+G65</f>
        <v>8276.2999999999993</v>
      </c>
      <c r="H73" s="582">
        <f t="shared" si="16"/>
        <v>7987.2999999999993</v>
      </c>
      <c r="I73" s="581"/>
    </row>
    <row r="74" spans="1:9">
      <c r="A74" s="745" t="s">
        <v>1691</v>
      </c>
      <c r="B74" s="465" t="s">
        <v>1692</v>
      </c>
      <c r="C74" s="570"/>
      <c r="D74" s="565"/>
      <c r="E74" s="672"/>
      <c r="F74" s="582">
        <f>F75</f>
        <v>0</v>
      </c>
      <c r="G74" s="582">
        <f t="shared" ref="G74:H74" si="17">G75</f>
        <v>23345.7</v>
      </c>
      <c r="H74" s="582">
        <f t="shared" si="17"/>
        <v>37509.1</v>
      </c>
      <c r="I74" s="581"/>
    </row>
    <row r="75" spans="1:9">
      <c r="A75" s="745" t="s">
        <v>1693</v>
      </c>
      <c r="B75" s="742" t="s">
        <v>1448</v>
      </c>
      <c r="C75" s="111">
        <v>923</v>
      </c>
      <c r="D75" s="565"/>
      <c r="E75" s="672"/>
      <c r="F75" s="572">
        <v>0</v>
      </c>
      <c r="G75" s="572">
        <v>23345.7</v>
      </c>
      <c r="H75" s="572">
        <v>37509.1</v>
      </c>
      <c r="I75" s="581"/>
    </row>
    <row r="76" spans="1:9">
      <c r="A76" s="745"/>
      <c r="B76" s="465" t="s">
        <v>1694</v>
      </c>
      <c r="C76" s="570"/>
      <c r="D76" s="565"/>
      <c r="E76" s="672"/>
      <c r="F76" s="582">
        <f>F74</f>
        <v>0</v>
      </c>
      <c r="G76" s="582">
        <f t="shared" ref="G76:H76" si="18">G74</f>
        <v>23345.7</v>
      </c>
      <c r="H76" s="582">
        <f t="shared" si="18"/>
        <v>37509.1</v>
      </c>
      <c r="I76" s="581"/>
    </row>
    <row r="77" spans="1:9">
      <c r="A77" s="745"/>
      <c r="B77" s="463" t="s">
        <v>1166</v>
      </c>
      <c r="C77" s="111"/>
      <c r="D77" s="571"/>
      <c r="E77" s="504"/>
      <c r="F77" s="582">
        <f>F52+F73+F57+F74</f>
        <v>81303.199999999997</v>
      </c>
      <c r="G77" s="582">
        <f t="shared" ref="G77:H77" si="19">G52+G73+G57+G74</f>
        <v>100147.6</v>
      </c>
      <c r="H77" s="582">
        <f t="shared" si="19"/>
        <v>111702.6</v>
      </c>
      <c r="I77" s="578"/>
    </row>
    <row r="80" spans="1:9">
      <c r="F80" s="1070"/>
    </row>
    <row r="81" spans="2:8">
      <c r="F81" s="1070"/>
      <c r="G81" s="1070"/>
      <c r="H81" s="1070"/>
    </row>
    <row r="84" spans="2:8">
      <c r="B84" s="11"/>
      <c r="G84" s="1070"/>
    </row>
  </sheetData>
  <mergeCells count="15">
    <mergeCell ref="I5:I7"/>
    <mergeCell ref="C6:C7"/>
    <mergeCell ref="D6:D7"/>
    <mergeCell ref="E6:E7"/>
    <mergeCell ref="A8:A14"/>
    <mergeCell ref="B8:B14"/>
    <mergeCell ref="D8:D14"/>
    <mergeCell ref="E8:E14"/>
    <mergeCell ref="F1:H1"/>
    <mergeCell ref="F2:H2"/>
    <mergeCell ref="A3:H3"/>
    <mergeCell ref="A5:A7"/>
    <mergeCell ref="B5:B7"/>
    <mergeCell ref="C5:E5"/>
    <mergeCell ref="F5:H6"/>
  </mergeCells>
  <pageMargins left="0.51181102362204722" right="0.31496062992125984" top="0.19685039370078741" bottom="0.15748031496062992" header="0.31496062992125984" footer="0.31496062992125984"/>
  <pageSetup paperSize="9" scale="69" fitToHeight="2" orientation="portrait" copies="5" r:id="rId1"/>
</worksheet>
</file>

<file path=xl/worksheets/sheet2.xml><?xml version="1.0" encoding="utf-8"?>
<worksheet xmlns="http://schemas.openxmlformats.org/spreadsheetml/2006/main" xmlns:r="http://schemas.openxmlformats.org/officeDocument/2006/relationships">
  <sheetPr>
    <tabColor rgb="FF92D050"/>
  </sheetPr>
  <dimension ref="A1:N96"/>
  <sheetViews>
    <sheetView zoomScale="70" zoomScaleNormal="70" workbookViewId="0">
      <pane xSplit="2" ySplit="10" topLeftCell="C11" activePane="bottomRight" state="frozen"/>
      <selection pane="topRight" activeCell="C1" sqref="C1"/>
      <selection pane="bottomLeft" activeCell="A11" sqref="A11"/>
      <selection pane="bottomRight" activeCell="O18" sqref="O18"/>
    </sheetView>
  </sheetViews>
  <sheetFormatPr defaultColWidth="9.140625" defaultRowHeight="15"/>
  <cols>
    <col min="1" max="1" width="6.5703125" style="383" customWidth="1"/>
    <col min="2" max="2" width="59.28515625" style="428" customWidth="1"/>
    <col min="3" max="3" width="8.5703125" style="383" customWidth="1"/>
    <col min="4" max="4" width="11.7109375" style="429" customWidth="1"/>
    <col min="5" max="5" width="14.140625" style="383" customWidth="1"/>
    <col min="6" max="6" width="11.7109375" style="6" customWidth="1"/>
    <col min="7" max="7" width="11.85546875" style="6" customWidth="1"/>
    <col min="8" max="8" width="12.42578125" style="6" customWidth="1"/>
    <col min="9" max="9" width="42.85546875" style="387" customWidth="1"/>
    <col min="10" max="10" width="7.5703125" style="387" customWidth="1"/>
    <col min="11" max="11" width="7.140625" style="387" customWidth="1"/>
    <col min="12" max="12" width="9" style="387" customWidth="1"/>
    <col min="13" max="13" width="0.140625" style="387" customWidth="1"/>
    <col min="14" max="14" width="9.140625" style="387"/>
    <col min="15" max="15" width="23.140625" style="387" customWidth="1"/>
    <col min="16" max="16384" width="9.140625" style="387"/>
  </cols>
  <sheetData>
    <row r="1" spans="1:14">
      <c r="J1" s="761" t="s">
        <v>1240</v>
      </c>
      <c r="K1" s="761"/>
      <c r="L1" s="761"/>
      <c r="M1" s="475"/>
    </row>
    <row r="2" spans="1:14" ht="28.5" customHeight="1">
      <c r="B2" s="384"/>
      <c r="C2" s="385"/>
      <c r="D2" s="386"/>
      <c r="E2" s="385"/>
      <c r="F2" s="11"/>
      <c r="G2" s="11"/>
      <c r="H2" s="11"/>
      <c r="J2" s="761" t="s">
        <v>1241</v>
      </c>
      <c r="K2" s="761"/>
      <c r="L2" s="761"/>
      <c r="M2" s="476"/>
    </row>
    <row r="3" spans="1:14" ht="16.5" customHeight="1">
      <c r="A3" s="762" t="s">
        <v>15</v>
      </c>
      <c r="B3" s="762"/>
      <c r="C3" s="762"/>
      <c r="D3" s="762"/>
      <c r="E3" s="762"/>
      <c r="F3" s="762"/>
      <c r="G3" s="762"/>
      <c r="H3" s="762"/>
      <c r="I3" s="762"/>
      <c r="J3" s="383"/>
      <c r="K3" s="383"/>
      <c r="L3" s="383"/>
      <c r="M3" s="475"/>
    </row>
    <row r="4" spans="1:14" ht="20.25">
      <c r="A4" s="762" t="s">
        <v>1051</v>
      </c>
      <c r="B4" s="762"/>
      <c r="C4" s="762"/>
      <c r="D4" s="762"/>
      <c r="E4" s="762"/>
      <c r="F4" s="762"/>
      <c r="G4" s="762"/>
      <c r="H4" s="762"/>
      <c r="I4" s="762"/>
    </row>
    <row r="5" spans="1:14" ht="18.75" hidden="1">
      <c r="B5" s="384"/>
      <c r="C5" s="385"/>
      <c r="D5" s="386"/>
      <c r="E5" s="385"/>
      <c r="F5" s="11"/>
      <c r="G5" s="11"/>
      <c r="H5" s="11"/>
    </row>
    <row r="6" spans="1:14" ht="18.75" hidden="1">
      <c r="B6" s="384"/>
      <c r="C6" s="385"/>
      <c r="D6" s="386"/>
      <c r="E6" s="385"/>
      <c r="F6" s="11"/>
      <c r="G6" s="11"/>
      <c r="H6" s="11"/>
    </row>
    <row r="7" spans="1:14" ht="18.75">
      <c r="B7" s="384"/>
      <c r="C7" s="385"/>
      <c r="D7" s="386"/>
      <c r="E7" s="385"/>
      <c r="F7" s="388"/>
      <c r="G7" s="477"/>
      <c r="H7" s="477"/>
    </row>
    <row r="8" spans="1:14" s="383" customFormat="1" ht="15" customHeight="1">
      <c r="A8" s="763" t="s">
        <v>16</v>
      </c>
      <c r="B8" s="763" t="s">
        <v>173</v>
      </c>
      <c r="C8" s="764" t="s">
        <v>0</v>
      </c>
      <c r="D8" s="764"/>
      <c r="E8" s="764"/>
      <c r="F8" s="765" t="s">
        <v>389</v>
      </c>
      <c r="G8" s="765"/>
      <c r="H8" s="765"/>
      <c r="I8" s="763" t="s">
        <v>1</v>
      </c>
      <c r="J8" s="763" t="s">
        <v>2</v>
      </c>
      <c r="K8" s="763"/>
      <c r="L8" s="763"/>
    </row>
    <row r="9" spans="1:14" s="383" customFormat="1" ht="35.25" customHeight="1">
      <c r="A9" s="763"/>
      <c r="B9" s="763"/>
      <c r="C9" s="764"/>
      <c r="D9" s="764"/>
      <c r="E9" s="764"/>
      <c r="F9" s="765"/>
      <c r="G9" s="765"/>
      <c r="H9" s="765"/>
      <c r="I9" s="763"/>
      <c r="J9" s="763"/>
      <c r="K9" s="763"/>
      <c r="L9" s="763"/>
    </row>
    <row r="10" spans="1:14" s="383" customFormat="1" ht="47.45" customHeight="1">
      <c r="A10" s="763"/>
      <c r="B10" s="763"/>
      <c r="C10" s="478" t="s">
        <v>3</v>
      </c>
      <c r="D10" s="478" t="s">
        <v>4</v>
      </c>
      <c r="E10" s="478" t="s">
        <v>5</v>
      </c>
      <c r="F10" s="657" t="s">
        <v>222</v>
      </c>
      <c r="G10" s="657" t="s">
        <v>314</v>
      </c>
      <c r="H10" s="657" t="s">
        <v>425</v>
      </c>
      <c r="I10" s="763"/>
      <c r="J10" s="656" t="s">
        <v>219</v>
      </c>
      <c r="K10" s="656" t="s">
        <v>373</v>
      </c>
      <c r="L10" s="656" t="s">
        <v>414</v>
      </c>
    </row>
    <row r="11" spans="1:14" s="391" customFormat="1" ht="15.75">
      <c r="A11" s="656">
        <v>1</v>
      </c>
      <c r="B11" s="389">
        <v>2</v>
      </c>
      <c r="C11" s="389">
        <v>3</v>
      </c>
      <c r="D11" s="389">
        <v>4</v>
      </c>
      <c r="E11" s="389">
        <v>5</v>
      </c>
      <c r="F11" s="390">
        <v>6</v>
      </c>
      <c r="G11" s="390">
        <v>7</v>
      </c>
      <c r="H11" s="390">
        <v>8</v>
      </c>
      <c r="I11" s="656">
        <v>9</v>
      </c>
      <c r="J11" s="389">
        <v>10</v>
      </c>
      <c r="K11" s="389">
        <v>11</v>
      </c>
      <c r="L11" s="389">
        <v>12</v>
      </c>
    </row>
    <row r="12" spans="1:14" ht="47.25" customHeight="1">
      <c r="A12" s="404" t="s">
        <v>291</v>
      </c>
      <c r="B12" s="479" t="s">
        <v>1052</v>
      </c>
      <c r="C12" s="395" t="s">
        <v>7</v>
      </c>
      <c r="D12" s="395" t="s">
        <v>8</v>
      </c>
      <c r="E12" s="402" t="s">
        <v>172</v>
      </c>
      <c r="F12" s="430">
        <f>F13+F25+F42+F50+F58+F76+F68</f>
        <v>755871.5</v>
      </c>
      <c r="G12" s="430">
        <f>G13+G25+G42+G50+G58+G76+G68</f>
        <v>766259.29999999993</v>
      </c>
      <c r="H12" s="430">
        <f>H13+H25+H42+H50+H58+H76+H68</f>
        <v>706909.2</v>
      </c>
      <c r="I12" s="480"/>
      <c r="J12" s="404"/>
      <c r="K12" s="404"/>
      <c r="L12" s="404"/>
    </row>
    <row r="13" spans="1:14" ht="47.25" customHeight="1">
      <c r="A13" s="392"/>
      <c r="B13" s="393" t="s">
        <v>69</v>
      </c>
      <c r="C13" s="402" t="s">
        <v>7</v>
      </c>
      <c r="D13" s="395" t="s">
        <v>8</v>
      </c>
      <c r="E13" s="402" t="s">
        <v>171</v>
      </c>
      <c r="F13" s="430">
        <f>F14+F22</f>
        <v>222521</v>
      </c>
      <c r="G13" s="430">
        <f>G14+G22</f>
        <v>235468.39999999997</v>
      </c>
      <c r="H13" s="430">
        <f>H14+H22</f>
        <v>233389.99999999997</v>
      </c>
      <c r="I13" s="394"/>
      <c r="J13" s="404"/>
      <c r="K13" s="404"/>
      <c r="L13" s="404"/>
    </row>
    <row r="14" spans="1:14" ht="60" customHeight="1">
      <c r="A14" s="392" t="s">
        <v>18</v>
      </c>
      <c r="B14" s="393" t="s">
        <v>170</v>
      </c>
      <c r="C14" s="402" t="s">
        <v>7</v>
      </c>
      <c r="D14" s="395" t="s">
        <v>8</v>
      </c>
      <c r="E14" s="402" t="s">
        <v>164</v>
      </c>
      <c r="F14" s="430">
        <f>F16+F17+F19+F18+F15</f>
        <v>222474.8</v>
      </c>
      <c r="G14" s="430">
        <f t="shared" ref="G14:H14" si="0">G16+G17+G19+G18+G15</f>
        <v>235424.49999999997</v>
      </c>
      <c r="H14" s="430">
        <f t="shared" si="0"/>
        <v>233347.99999999997</v>
      </c>
      <c r="I14" s="396"/>
      <c r="J14" s="404"/>
      <c r="K14" s="404"/>
      <c r="L14" s="404"/>
      <c r="M14" s="397"/>
      <c r="N14" s="397"/>
    </row>
    <row r="15" spans="1:14" ht="14.45" customHeight="1">
      <c r="A15" s="767" t="s">
        <v>81</v>
      </c>
      <c r="B15" s="769" t="s">
        <v>198</v>
      </c>
      <c r="C15" s="652" t="s">
        <v>1615</v>
      </c>
      <c r="D15" s="649" t="s">
        <v>13</v>
      </c>
      <c r="E15" s="652" t="s">
        <v>169</v>
      </c>
      <c r="F15" s="650">
        <v>80</v>
      </c>
      <c r="G15" s="650">
        <v>76</v>
      </c>
      <c r="H15" s="650">
        <v>72.8</v>
      </c>
      <c r="I15" s="771" t="s">
        <v>1053</v>
      </c>
      <c r="J15" s="759">
        <v>72</v>
      </c>
      <c r="K15" s="759">
        <v>75</v>
      </c>
      <c r="L15" s="759">
        <v>75</v>
      </c>
      <c r="M15" s="397"/>
      <c r="N15" s="397"/>
    </row>
    <row r="16" spans="1:14" ht="64.900000000000006" customHeight="1">
      <c r="A16" s="768"/>
      <c r="B16" s="770"/>
      <c r="C16" s="652" t="s">
        <v>1100</v>
      </c>
      <c r="D16" s="649" t="s">
        <v>13</v>
      </c>
      <c r="E16" s="652" t="s">
        <v>169</v>
      </c>
      <c r="F16" s="650">
        <f>47763.8-80</f>
        <v>47683.8</v>
      </c>
      <c r="G16" s="650">
        <f>45375.7-76</f>
        <v>45299.7</v>
      </c>
      <c r="H16" s="650">
        <f>43465.1-72.8</f>
        <v>43392.299999999996</v>
      </c>
      <c r="I16" s="772"/>
      <c r="J16" s="760"/>
      <c r="K16" s="760"/>
      <c r="L16" s="760"/>
    </row>
    <row r="17" spans="1:13" ht="89.25" customHeight="1">
      <c r="A17" s="655" t="s">
        <v>82</v>
      </c>
      <c r="B17" s="398" t="s">
        <v>379</v>
      </c>
      <c r="C17" s="652" t="s">
        <v>1100</v>
      </c>
      <c r="D17" s="649" t="s">
        <v>13</v>
      </c>
      <c r="E17" s="652" t="s">
        <v>214</v>
      </c>
      <c r="F17" s="650">
        <v>1064.0999999999999</v>
      </c>
      <c r="G17" s="650">
        <v>1010.9</v>
      </c>
      <c r="H17" s="650">
        <v>968.3</v>
      </c>
      <c r="I17" s="481" t="s">
        <v>1054</v>
      </c>
      <c r="J17" s="655">
        <v>0</v>
      </c>
      <c r="K17" s="655">
        <v>0</v>
      </c>
      <c r="L17" s="655">
        <v>0</v>
      </c>
    </row>
    <row r="18" spans="1:13" ht="66" customHeight="1">
      <c r="A18" s="655" t="s">
        <v>87</v>
      </c>
      <c r="B18" s="398" t="s">
        <v>1055</v>
      </c>
      <c r="C18" s="652" t="s">
        <v>1100</v>
      </c>
      <c r="D18" s="649" t="s">
        <v>13</v>
      </c>
      <c r="E18" s="652" t="s">
        <v>1056</v>
      </c>
      <c r="F18" s="650">
        <v>7.2</v>
      </c>
      <c r="G18" s="650">
        <v>6.8</v>
      </c>
      <c r="H18" s="650">
        <v>6.6</v>
      </c>
      <c r="I18" s="401"/>
      <c r="J18" s="655"/>
      <c r="K18" s="655"/>
      <c r="L18" s="655"/>
    </row>
    <row r="19" spans="1:13" ht="98.25" customHeight="1">
      <c r="A19" s="655" t="s">
        <v>352</v>
      </c>
      <c r="B19" s="398" t="s">
        <v>292</v>
      </c>
      <c r="C19" s="652" t="s">
        <v>1100</v>
      </c>
      <c r="D19" s="649" t="s">
        <v>293</v>
      </c>
      <c r="E19" s="652" t="s">
        <v>168</v>
      </c>
      <c r="F19" s="650">
        <f>F20+F21</f>
        <v>173639.69999999998</v>
      </c>
      <c r="G19" s="650">
        <f t="shared" ref="G19:H19" si="1">G20+G21</f>
        <v>189031.09999999998</v>
      </c>
      <c r="H19" s="650">
        <f t="shared" si="1"/>
        <v>188907.99999999997</v>
      </c>
      <c r="I19" s="481" t="s">
        <v>1053</v>
      </c>
      <c r="J19" s="655">
        <v>72</v>
      </c>
      <c r="K19" s="655">
        <v>75</v>
      </c>
      <c r="L19" s="655">
        <v>75</v>
      </c>
    </row>
    <row r="20" spans="1:13" ht="72" customHeight="1">
      <c r="A20" s="400"/>
      <c r="B20" s="398" t="s">
        <v>167</v>
      </c>
      <c r="C20" s="652" t="s">
        <v>1100</v>
      </c>
      <c r="D20" s="649" t="s">
        <v>13</v>
      </c>
      <c r="E20" s="652" t="s">
        <v>168</v>
      </c>
      <c r="F20" s="650">
        <f>93817.7+72556.4</f>
        <v>166374.09999999998</v>
      </c>
      <c r="G20" s="650">
        <f>108484.2+72556.4</f>
        <v>181040.59999999998</v>
      </c>
      <c r="H20" s="650">
        <f>108484.2+72556.4</f>
        <v>181040.59999999998</v>
      </c>
      <c r="I20" s="401"/>
      <c r="J20" s="655"/>
      <c r="K20" s="655"/>
      <c r="L20" s="655"/>
    </row>
    <row r="21" spans="1:13" ht="60">
      <c r="A21" s="400"/>
      <c r="B21" s="398" t="s">
        <v>166</v>
      </c>
      <c r="C21" s="652" t="s">
        <v>1100</v>
      </c>
      <c r="D21" s="649" t="s">
        <v>390</v>
      </c>
      <c r="E21" s="652" t="s">
        <v>168</v>
      </c>
      <c r="F21" s="650">
        <f>7327.9-62.3</f>
        <v>7265.5999999999995</v>
      </c>
      <c r="G21" s="650">
        <f>8014.7-24.2</f>
        <v>7990.5</v>
      </c>
      <c r="H21" s="650">
        <f>7876.6-9.2</f>
        <v>7867.4000000000005</v>
      </c>
      <c r="I21" s="399"/>
      <c r="J21" s="655"/>
      <c r="K21" s="655"/>
      <c r="L21" s="655"/>
    </row>
    <row r="22" spans="1:13" ht="43.5" customHeight="1">
      <c r="A22" s="392" t="s">
        <v>24</v>
      </c>
      <c r="B22" s="393" t="s">
        <v>165</v>
      </c>
      <c r="C22" s="402" t="s">
        <v>1100</v>
      </c>
      <c r="D22" s="395" t="s">
        <v>8</v>
      </c>
      <c r="E22" s="402" t="s">
        <v>164</v>
      </c>
      <c r="F22" s="430">
        <f>F23</f>
        <v>46.2</v>
      </c>
      <c r="G22" s="430">
        <f>G23</f>
        <v>43.9</v>
      </c>
      <c r="H22" s="430">
        <f>H23</f>
        <v>42</v>
      </c>
      <c r="I22" s="396"/>
      <c r="J22" s="404"/>
      <c r="K22" s="404"/>
      <c r="L22" s="404"/>
    </row>
    <row r="23" spans="1:13">
      <c r="A23" s="773" t="s">
        <v>163</v>
      </c>
      <c r="B23" s="774" t="s">
        <v>162</v>
      </c>
      <c r="C23" s="775" t="s">
        <v>1100</v>
      </c>
      <c r="D23" s="776" t="s">
        <v>13</v>
      </c>
      <c r="E23" s="775" t="s">
        <v>161</v>
      </c>
      <c r="F23" s="766">
        <v>46.2</v>
      </c>
      <c r="G23" s="766">
        <v>43.9</v>
      </c>
      <c r="H23" s="766">
        <v>42</v>
      </c>
      <c r="I23" s="778"/>
      <c r="J23" s="777"/>
      <c r="K23" s="777"/>
      <c r="L23" s="777"/>
    </row>
    <row r="24" spans="1:13" ht="24.75" customHeight="1">
      <c r="A24" s="773"/>
      <c r="B24" s="774"/>
      <c r="C24" s="773"/>
      <c r="D24" s="777"/>
      <c r="E24" s="773"/>
      <c r="F24" s="766"/>
      <c r="G24" s="766"/>
      <c r="H24" s="766"/>
      <c r="I24" s="779"/>
      <c r="J24" s="777"/>
      <c r="K24" s="777"/>
      <c r="L24" s="777"/>
    </row>
    <row r="25" spans="1:13" ht="28.5">
      <c r="A25" s="402" t="s">
        <v>38</v>
      </c>
      <c r="B25" s="403" t="s">
        <v>45</v>
      </c>
      <c r="C25" s="402" t="s">
        <v>7</v>
      </c>
      <c r="D25" s="395" t="s">
        <v>8</v>
      </c>
      <c r="E25" s="402" t="s">
        <v>160</v>
      </c>
      <c r="F25" s="430">
        <f>F26</f>
        <v>426540.69999999995</v>
      </c>
      <c r="G25" s="430">
        <f>G26</f>
        <v>423432.3</v>
      </c>
      <c r="H25" s="430">
        <f>H26</f>
        <v>359388.89999999997</v>
      </c>
      <c r="I25" s="396"/>
      <c r="J25" s="404"/>
      <c r="K25" s="404"/>
      <c r="L25" s="404"/>
    </row>
    <row r="26" spans="1:13" ht="42.75">
      <c r="A26" s="404" t="s">
        <v>26</v>
      </c>
      <c r="B26" s="393" t="s">
        <v>159</v>
      </c>
      <c r="C26" s="395" t="s">
        <v>7</v>
      </c>
      <c r="D26" s="395" t="s">
        <v>8</v>
      </c>
      <c r="E26" s="402" t="s">
        <v>158</v>
      </c>
      <c r="F26" s="430">
        <f>F28+F29+F34+F31+F32+F33+F37+F27</f>
        <v>426540.69999999995</v>
      </c>
      <c r="G26" s="430">
        <f t="shared" ref="G26:H26" si="2">G28+G29+G34+G31+G32+G33+G37+G27</f>
        <v>423432.3</v>
      </c>
      <c r="H26" s="430">
        <f t="shared" si="2"/>
        <v>359388.89999999997</v>
      </c>
      <c r="I26" s="404"/>
      <c r="J26" s="404"/>
      <c r="K26" s="404"/>
      <c r="L26" s="404"/>
      <c r="M26" s="406"/>
    </row>
    <row r="27" spans="1:13" ht="14.45" customHeight="1">
      <c r="A27" s="780" t="s">
        <v>75</v>
      </c>
      <c r="B27" s="782" t="s">
        <v>73</v>
      </c>
      <c r="C27" s="649" t="s">
        <v>1615</v>
      </c>
      <c r="D27" s="649" t="s">
        <v>11</v>
      </c>
      <c r="E27" s="652" t="s">
        <v>157</v>
      </c>
      <c r="F27" s="650">
        <v>220</v>
      </c>
      <c r="G27" s="650">
        <v>209</v>
      </c>
      <c r="H27" s="650">
        <v>200.2</v>
      </c>
      <c r="I27" s="771" t="s">
        <v>1053</v>
      </c>
      <c r="J27" s="759">
        <v>72</v>
      </c>
      <c r="K27" s="759">
        <v>75</v>
      </c>
      <c r="L27" s="759">
        <v>75</v>
      </c>
      <c r="M27" s="406"/>
    </row>
    <row r="28" spans="1:13" ht="59.45" customHeight="1">
      <c r="A28" s="781"/>
      <c r="B28" s="783"/>
      <c r="C28" s="652" t="s">
        <v>1100</v>
      </c>
      <c r="D28" s="649" t="s">
        <v>11</v>
      </c>
      <c r="E28" s="652" t="s">
        <v>157</v>
      </c>
      <c r="F28" s="650">
        <f>48678.6-535.1-220</f>
        <v>47923.5</v>
      </c>
      <c r="G28" s="650">
        <f>46244.7-508.3-209</f>
        <v>45527.399999999994</v>
      </c>
      <c r="H28" s="650">
        <f>44297.6-487-200.2</f>
        <v>43610.400000000001</v>
      </c>
      <c r="I28" s="772"/>
      <c r="J28" s="760"/>
      <c r="K28" s="760"/>
      <c r="L28" s="760"/>
    </row>
    <row r="29" spans="1:13" ht="30">
      <c r="A29" s="652" t="s">
        <v>84</v>
      </c>
      <c r="B29" s="654" t="s">
        <v>383</v>
      </c>
      <c r="C29" s="652" t="s">
        <v>1100</v>
      </c>
      <c r="D29" s="649" t="s">
        <v>11</v>
      </c>
      <c r="E29" s="652" t="s">
        <v>1057</v>
      </c>
      <c r="F29" s="650">
        <v>2491.9</v>
      </c>
      <c r="G29" s="650">
        <v>2367.3000000000002</v>
      </c>
      <c r="H29" s="650">
        <v>2267.6</v>
      </c>
      <c r="I29" s="401"/>
      <c r="J29" s="655"/>
      <c r="K29" s="655"/>
      <c r="L29" s="655"/>
    </row>
    <row r="30" spans="1:13" ht="46.5" customHeight="1">
      <c r="A30" s="652" t="s">
        <v>156</v>
      </c>
      <c r="B30" s="654" t="s">
        <v>292</v>
      </c>
      <c r="C30" s="652" t="s">
        <v>1100</v>
      </c>
      <c r="D30" s="649" t="s">
        <v>391</v>
      </c>
      <c r="E30" s="649" t="s">
        <v>294</v>
      </c>
      <c r="F30" s="650">
        <f>F31+F32+F33</f>
        <v>283806.19999999995</v>
      </c>
      <c r="G30" s="650">
        <f t="shared" ref="G30:H30" si="3">G31+G32+G33</f>
        <v>305846.09999999998</v>
      </c>
      <c r="H30" s="650">
        <f t="shared" si="3"/>
        <v>305846.09999999998</v>
      </c>
      <c r="I30" s="401" t="s">
        <v>1058</v>
      </c>
      <c r="J30" s="655">
        <v>99</v>
      </c>
      <c r="K30" s="655">
        <v>99.5</v>
      </c>
      <c r="L30" s="655">
        <v>99.5</v>
      </c>
    </row>
    <row r="31" spans="1:13" ht="30">
      <c r="A31" s="652"/>
      <c r="B31" s="398" t="s">
        <v>199</v>
      </c>
      <c r="C31" s="652" t="s">
        <v>1100</v>
      </c>
      <c r="D31" s="649" t="s">
        <v>30</v>
      </c>
      <c r="E31" s="649" t="s">
        <v>294</v>
      </c>
      <c r="F31" s="650">
        <v>13120.1</v>
      </c>
      <c r="G31" s="650">
        <v>13120.1</v>
      </c>
      <c r="H31" s="650">
        <v>13120.1</v>
      </c>
      <c r="I31" s="399"/>
      <c r="J31" s="655"/>
      <c r="K31" s="655"/>
      <c r="L31" s="655"/>
    </row>
    <row r="32" spans="1:13" ht="30">
      <c r="A32" s="652"/>
      <c r="B32" s="398" t="s">
        <v>53</v>
      </c>
      <c r="C32" s="652" t="s">
        <v>1100</v>
      </c>
      <c r="D32" s="649" t="s">
        <v>30</v>
      </c>
      <c r="E32" s="649" t="s">
        <v>294</v>
      </c>
      <c r="F32" s="650">
        <v>13549.9</v>
      </c>
      <c r="G32" s="650">
        <v>13549.9</v>
      </c>
      <c r="H32" s="650">
        <v>13549.9</v>
      </c>
      <c r="I32" s="399"/>
      <c r="J32" s="655"/>
      <c r="K32" s="655"/>
      <c r="L32" s="655"/>
    </row>
    <row r="33" spans="1:12" ht="75">
      <c r="A33" s="652"/>
      <c r="B33" s="654" t="s">
        <v>200</v>
      </c>
      <c r="C33" s="652" t="s">
        <v>1100</v>
      </c>
      <c r="D33" s="649" t="s">
        <v>201</v>
      </c>
      <c r="E33" s="649" t="s">
        <v>294</v>
      </c>
      <c r="F33" s="650">
        <f>329692.6-72556.4</f>
        <v>257136.19999999998</v>
      </c>
      <c r="G33" s="650">
        <f>351732.5-72556.4</f>
        <v>279176.09999999998</v>
      </c>
      <c r="H33" s="650">
        <f>351732.5-72556.4</f>
        <v>279176.09999999998</v>
      </c>
      <c r="I33" s="109" t="s">
        <v>1059</v>
      </c>
      <c r="J33" s="655">
        <v>16.899999999999999</v>
      </c>
      <c r="K33" s="655">
        <v>17</v>
      </c>
      <c r="L33" s="655">
        <v>18</v>
      </c>
    </row>
    <row r="34" spans="1:12" ht="189" customHeight="1">
      <c r="A34" s="775" t="s">
        <v>155</v>
      </c>
      <c r="B34" s="408" t="s">
        <v>1060</v>
      </c>
      <c r="C34" s="652" t="s">
        <v>1100</v>
      </c>
      <c r="D34" s="649" t="s">
        <v>11</v>
      </c>
      <c r="E34" s="652" t="s">
        <v>380</v>
      </c>
      <c r="F34" s="650">
        <f>F35+F36</f>
        <v>7481.5</v>
      </c>
      <c r="G34" s="650">
        <f>G35+G36</f>
        <v>7451.7</v>
      </c>
      <c r="H34" s="650">
        <f>H35+H36</f>
        <v>7464.6</v>
      </c>
      <c r="I34" s="408"/>
      <c r="J34" s="655"/>
      <c r="K34" s="655"/>
      <c r="L34" s="655"/>
    </row>
    <row r="35" spans="1:12">
      <c r="A35" s="775"/>
      <c r="B35" s="409" t="s">
        <v>381</v>
      </c>
      <c r="C35" s="652"/>
      <c r="D35" s="649"/>
      <c r="E35" s="652"/>
      <c r="F35" s="650">
        <v>6454.4</v>
      </c>
      <c r="G35" s="650">
        <v>6476</v>
      </c>
      <c r="H35" s="650">
        <v>6530</v>
      </c>
      <c r="I35" s="401"/>
      <c r="J35" s="655"/>
      <c r="K35" s="655"/>
      <c r="L35" s="655"/>
    </row>
    <row r="36" spans="1:12">
      <c r="A36" s="775"/>
      <c r="B36" s="409" t="s">
        <v>382</v>
      </c>
      <c r="C36" s="652"/>
      <c r="D36" s="649"/>
      <c r="E36" s="652"/>
      <c r="F36" s="650">
        <f>837.3+189.8</f>
        <v>1027.0999999999999</v>
      </c>
      <c r="G36" s="650">
        <v>975.7</v>
      </c>
      <c r="H36" s="650">
        <v>934.6</v>
      </c>
      <c r="I36" s="401"/>
      <c r="J36" s="655"/>
      <c r="K36" s="655"/>
      <c r="L36" s="655"/>
    </row>
    <row r="37" spans="1:12" ht="90">
      <c r="A37" s="775" t="s">
        <v>154</v>
      </c>
      <c r="B37" s="654" t="s">
        <v>1061</v>
      </c>
      <c r="C37" s="652" t="s">
        <v>1084</v>
      </c>
      <c r="D37" s="649" t="s">
        <v>11</v>
      </c>
      <c r="E37" s="652" t="s">
        <v>1062</v>
      </c>
      <c r="F37" s="650">
        <f>F38</f>
        <v>84617.600000000006</v>
      </c>
      <c r="G37" s="650">
        <f t="shared" ref="G37:H37" si="4">G38</f>
        <v>62030.8</v>
      </c>
      <c r="H37" s="650">
        <f t="shared" si="4"/>
        <v>0</v>
      </c>
      <c r="I37" s="401"/>
      <c r="J37" s="655"/>
      <c r="K37" s="655"/>
      <c r="L37" s="655"/>
    </row>
    <row r="38" spans="1:12" ht="40.5" customHeight="1">
      <c r="A38" s="775"/>
      <c r="B38" s="654" t="s">
        <v>1242</v>
      </c>
      <c r="C38" s="652" t="s">
        <v>1084</v>
      </c>
      <c r="D38" s="649" t="s">
        <v>11</v>
      </c>
      <c r="E38" s="652" t="s">
        <v>1062</v>
      </c>
      <c r="F38" s="650">
        <f>F39+F41+F40</f>
        <v>84617.600000000006</v>
      </c>
      <c r="G38" s="650">
        <f t="shared" ref="G38:H38" si="5">G39+G41+G40</f>
        <v>62030.8</v>
      </c>
      <c r="H38" s="650">
        <f t="shared" si="5"/>
        <v>0</v>
      </c>
      <c r="I38" s="401"/>
      <c r="J38" s="655"/>
      <c r="K38" s="655"/>
      <c r="L38" s="655"/>
    </row>
    <row r="39" spans="1:12">
      <c r="A39" s="775"/>
      <c r="B39" s="409" t="s">
        <v>1063</v>
      </c>
      <c r="C39" s="652"/>
      <c r="D39" s="649"/>
      <c r="E39" s="652"/>
      <c r="F39" s="650">
        <v>15812.5</v>
      </c>
      <c r="G39" s="650">
        <v>0</v>
      </c>
      <c r="H39" s="650">
        <f>H40+H41</f>
        <v>0</v>
      </c>
      <c r="I39" s="401"/>
      <c r="J39" s="655"/>
      <c r="K39" s="655"/>
      <c r="L39" s="655"/>
    </row>
    <row r="40" spans="1:12">
      <c r="A40" s="775"/>
      <c r="B40" s="409" t="s">
        <v>1064</v>
      </c>
      <c r="C40" s="652"/>
      <c r="D40" s="649"/>
      <c r="E40" s="652"/>
      <c r="F40" s="650">
        <v>63534.3</v>
      </c>
      <c r="G40" s="650">
        <v>62030.8</v>
      </c>
      <c r="H40" s="650">
        <f>H41</f>
        <v>0</v>
      </c>
      <c r="I40" s="401"/>
      <c r="J40" s="655"/>
      <c r="K40" s="655"/>
      <c r="L40" s="655"/>
    </row>
    <row r="41" spans="1:12">
      <c r="A41" s="775"/>
      <c r="B41" s="409" t="s">
        <v>382</v>
      </c>
      <c r="C41" s="652"/>
      <c r="D41" s="649"/>
      <c r="E41" s="652"/>
      <c r="F41" s="650">
        <v>5270.8</v>
      </c>
      <c r="G41" s="650">
        <v>0</v>
      </c>
      <c r="H41" s="650">
        <v>0</v>
      </c>
      <c r="I41" s="401"/>
      <c r="J41" s="655"/>
      <c r="K41" s="655"/>
      <c r="L41" s="655"/>
    </row>
    <row r="42" spans="1:12" ht="28.5">
      <c r="A42" s="402" t="s">
        <v>19</v>
      </c>
      <c r="B42" s="403" t="s">
        <v>1065</v>
      </c>
      <c r="C42" s="402" t="s">
        <v>7</v>
      </c>
      <c r="D42" s="395" t="s">
        <v>8</v>
      </c>
      <c r="E42" s="402" t="s">
        <v>153</v>
      </c>
      <c r="F42" s="430">
        <f>F43+F46+F48</f>
        <v>26305.9</v>
      </c>
      <c r="G42" s="430">
        <f>G43+G46+G48</f>
        <v>25172</v>
      </c>
      <c r="H42" s="430">
        <f>H43+H46+H48</f>
        <v>24112.100000000002</v>
      </c>
      <c r="I42" s="405"/>
      <c r="J42" s="404"/>
      <c r="K42" s="404"/>
      <c r="L42" s="404"/>
    </row>
    <row r="43" spans="1:12" ht="42.75">
      <c r="A43" s="392" t="s">
        <v>28</v>
      </c>
      <c r="B43" s="393" t="s">
        <v>152</v>
      </c>
      <c r="C43" s="402" t="s">
        <v>7</v>
      </c>
      <c r="D43" s="395" t="s">
        <v>8</v>
      </c>
      <c r="E43" s="402" t="s">
        <v>151</v>
      </c>
      <c r="F43" s="430">
        <f>F45+F44</f>
        <v>26056.9</v>
      </c>
      <c r="G43" s="430">
        <f t="shared" ref="G43:H43" si="6">G45+G44</f>
        <v>24754.100000000002</v>
      </c>
      <c r="H43" s="430">
        <f t="shared" si="6"/>
        <v>23711.800000000003</v>
      </c>
      <c r="I43" s="396"/>
      <c r="J43" s="404"/>
      <c r="K43" s="404"/>
      <c r="L43" s="404"/>
    </row>
    <row r="44" spans="1:12" ht="14.45" customHeight="1">
      <c r="A44" s="780" t="s">
        <v>76</v>
      </c>
      <c r="B44" s="782" t="s">
        <v>295</v>
      </c>
      <c r="C44" s="652" t="s">
        <v>1615</v>
      </c>
      <c r="D44" s="649" t="s">
        <v>197</v>
      </c>
      <c r="E44" s="652" t="s">
        <v>150</v>
      </c>
      <c r="F44" s="650">
        <f>764.6+40</f>
        <v>804.6</v>
      </c>
      <c r="G44" s="650">
        <f>726.4+40</f>
        <v>766.4</v>
      </c>
      <c r="H44" s="650">
        <f>695.8+40</f>
        <v>735.8</v>
      </c>
      <c r="I44" s="396"/>
      <c r="J44" s="404"/>
      <c r="K44" s="404"/>
      <c r="L44" s="404"/>
    </row>
    <row r="45" spans="1:12" ht="60" customHeight="1">
      <c r="A45" s="784"/>
      <c r="B45" s="785"/>
      <c r="C45" s="652" t="s">
        <v>1100</v>
      </c>
      <c r="D45" s="649" t="s">
        <v>197</v>
      </c>
      <c r="E45" s="649" t="s">
        <v>150</v>
      </c>
      <c r="F45" s="650">
        <f>26152.4-F44-95.5</f>
        <v>25252.300000000003</v>
      </c>
      <c r="G45" s="650">
        <f>25026.2-G44-272.1</f>
        <v>23987.7</v>
      </c>
      <c r="H45" s="650">
        <f>23972.4-H44-260.6</f>
        <v>22976.000000000004</v>
      </c>
      <c r="I45" s="688" t="s">
        <v>39</v>
      </c>
      <c r="J45" s="689">
        <v>75.7</v>
      </c>
      <c r="K45" s="689">
        <v>76</v>
      </c>
      <c r="L45" s="689">
        <v>76.5</v>
      </c>
    </row>
    <row r="46" spans="1:12" ht="28.5">
      <c r="A46" s="410" t="s">
        <v>29</v>
      </c>
      <c r="B46" s="393" t="s">
        <v>149</v>
      </c>
      <c r="C46" s="402" t="s">
        <v>1100</v>
      </c>
      <c r="D46" s="395" t="s">
        <v>8</v>
      </c>
      <c r="E46" s="402" t="s">
        <v>148</v>
      </c>
      <c r="F46" s="430">
        <f>F47</f>
        <v>153.5</v>
      </c>
      <c r="G46" s="430">
        <f t="shared" ref="G46:H48" si="7">G47</f>
        <v>145.80000000000001</v>
      </c>
      <c r="H46" s="430">
        <f t="shared" si="7"/>
        <v>139.69999999999999</v>
      </c>
      <c r="I46" s="396"/>
      <c r="J46" s="404"/>
      <c r="K46" s="404"/>
      <c r="L46" s="404"/>
    </row>
    <row r="47" spans="1:12" ht="80.45" customHeight="1">
      <c r="A47" s="652" t="s">
        <v>90</v>
      </c>
      <c r="B47" s="654" t="s">
        <v>147</v>
      </c>
      <c r="C47" s="652" t="s">
        <v>1100</v>
      </c>
      <c r="D47" s="649" t="s">
        <v>197</v>
      </c>
      <c r="E47" s="649" t="s">
        <v>146</v>
      </c>
      <c r="F47" s="650">
        <v>153.5</v>
      </c>
      <c r="G47" s="650">
        <v>145.80000000000001</v>
      </c>
      <c r="H47" s="650">
        <v>139.69999999999999</v>
      </c>
      <c r="I47" s="401" t="s">
        <v>1067</v>
      </c>
      <c r="J47" s="655">
        <v>21.5</v>
      </c>
      <c r="K47" s="655">
        <v>21.5</v>
      </c>
      <c r="L47" s="655">
        <v>21.5</v>
      </c>
    </row>
    <row r="48" spans="1:12" ht="42.75">
      <c r="A48" s="652" t="s">
        <v>1616</v>
      </c>
      <c r="B48" s="393" t="s">
        <v>1617</v>
      </c>
      <c r="C48" s="652" t="s">
        <v>1100</v>
      </c>
      <c r="D48" s="649" t="s">
        <v>197</v>
      </c>
      <c r="E48" s="402" t="s">
        <v>148</v>
      </c>
      <c r="F48" s="430">
        <f>F49</f>
        <v>95.5</v>
      </c>
      <c r="G48" s="430">
        <f t="shared" si="7"/>
        <v>272.10000000000002</v>
      </c>
      <c r="H48" s="430">
        <f t="shared" si="7"/>
        <v>260.60000000000002</v>
      </c>
      <c r="I48" s="401"/>
      <c r="J48" s="655"/>
      <c r="K48" s="655"/>
      <c r="L48" s="655"/>
    </row>
    <row r="49" spans="1:12" ht="54.6" customHeight="1">
      <c r="A49" s="652" t="s">
        <v>1618</v>
      </c>
      <c r="B49" s="654" t="s">
        <v>1619</v>
      </c>
      <c r="C49" s="652" t="s">
        <v>1100</v>
      </c>
      <c r="D49" s="649" t="s">
        <v>197</v>
      </c>
      <c r="E49" s="649" t="s">
        <v>1620</v>
      </c>
      <c r="F49" s="650">
        <v>95.5</v>
      </c>
      <c r="G49" s="650">
        <v>272.10000000000002</v>
      </c>
      <c r="H49" s="650">
        <v>260.60000000000002</v>
      </c>
      <c r="I49" s="401" t="s">
        <v>1066</v>
      </c>
      <c r="J49" s="655">
        <v>1</v>
      </c>
      <c r="K49" s="655">
        <v>0</v>
      </c>
      <c r="L49" s="655">
        <v>0</v>
      </c>
    </row>
    <row r="50" spans="1:12" ht="28.5">
      <c r="A50" s="402" t="s">
        <v>21</v>
      </c>
      <c r="B50" s="403" t="s">
        <v>296</v>
      </c>
      <c r="C50" s="402" t="s">
        <v>7</v>
      </c>
      <c r="D50" s="395" t="s">
        <v>8</v>
      </c>
      <c r="E50" s="402" t="s">
        <v>145</v>
      </c>
      <c r="F50" s="430">
        <f>F51+F56</f>
        <v>15596.3</v>
      </c>
      <c r="G50" s="430">
        <f>G51+G56</f>
        <v>15260.9</v>
      </c>
      <c r="H50" s="430">
        <f>H51+H56</f>
        <v>14992.5</v>
      </c>
      <c r="I50" s="396"/>
      <c r="J50" s="404"/>
      <c r="K50" s="404"/>
      <c r="L50" s="404"/>
    </row>
    <row r="51" spans="1:12" ht="28.5">
      <c r="A51" s="392" t="s">
        <v>31</v>
      </c>
      <c r="B51" s="393" t="s">
        <v>139</v>
      </c>
      <c r="C51" s="402" t="s">
        <v>7</v>
      </c>
      <c r="D51" s="395" t="s">
        <v>8</v>
      </c>
      <c r="E51" s="402" t="s">
        <v>144</v>
      </c>
      <c r="F51" s="430">
        <f>F52+F54+F55+F53</f>
        <v>15346.8</v>
      </c>
      <c r="G51" s="430">
        <f t="shared" ref="G51:H51" si="8">G52+G54+G55+G53</f>
        <v>15023.9</v>
      </c>
      <c r="H51" s="430">
        <f t="shared" si="8"/>
        <v>14765.5</v>
      </c>
      <c r="I51" s="396"/>
      <c r="J51" s="404"/>
      <c r="K51" s="404"/>
      <c r="L51" s="404"/>
    </row>
    <row r="52" spans="1:12" ht="41.45" customHeight="1">
      <c r="A52" s="780" t="s">
        <v>92</v>
      </c>
      <c r="B52" s="782" t="s">
        <v>297</v>
      </c>
      <c r="C52" s="652" t="s">
        <v>1100</v>
      </c>
      <c r="D52" s="649" t="s">
        <v>25</v>
      </c>
      <c r="E52" s="649" t="s">
        <v>143</v>
      </c>
      <c r="F52" s="650">
        <v>5492.1</v>
      </c>
      <c r="G52" s="650">
        <v>5217.5</v>
      </c>
      <c r="H52" s="650">
        <v>4997.8</v>
      </c>
      <c r="I52" s="769" t="s">
        <v>40</v>
      </c>
      <c r="J52" s="759">
        <v>91.1</v>
      </c>
      <c r="K52" s="759">
        <v>91.1</v>
      </c>
      <c r="L52" s="759">
        <v>91.1</v>
      </c>
    </row>
    <row r="53" spans="1:12">
      <c r="A53" s="781"/>
      <c r="B53" s="783"/>
      <c r="C53" s="652" t="s">
        <v>1615</v>
      </c>
      <c r="D53" s="649" t="s">
        <v>25</v>
      </c>
      <c r="E53" s="649" t="s">
        <v>141</v>
      </c>
      <c r="F53" s="650">
        <f>210.8+20</f>
        <v>230.8</v>
      </c>
      <c r="G53" s="650">
        <f>200.3+19</f>
        <v>219.3</v>
      </c>
      <c r="H53" s="650">
        <f>191.8+18.2</f>
        <v>210</v>
      </c>
      <c r="I53" s="788"/>
      <c r="J53" s="789"/>
      <c r="K53" s="789"/>
      <c r="L53" s="789"/>
    </row>
    <row r="54" spans="1:12">
      <c r="A54" s="652" t="s">
        <v>93</v>
      </c>
      <c r="B54" s="654" t="s">
        <v>142</v>
      </c>
      <c r="C54" s="652" t="s">
        <v>1100</v>
      </c>
      <c r="D54" s="649" t="s">
        <v>25</v>
      </c>
      <c r="E54" s="649" t="s">
        <v>141</v>
      </c>
      <c r="F54" s="650">
        <f>749.5+216.7-F53</f>
        <v>735.40000000000009</v>
      </c>
      <c r="G54" s="650">
        <f>712+205.9-G53</f>
        <v>698.59999999999991</v>
      </c>
      <c r="H54" s="650">
        <f>682+197.2-H53</f>
        <v>669.2</v>
      </c>
      <c r="I54" s="770"/>
      <c r="J54" s="760"/>
      <c r="K54" s="760"/>
      <c r="L54" s="760"/>
    </row>
    <row r="55" spans="1:12" ht="45">
      <c r="A55" s="652" t="s">
        <v>94</v>
      </c>
      <c r="B55" s="654" t="s">
        <v>140</v>
      </c>
      <c r="C55" s="652" t="s">
        <v>1100</v>
      </c>
      <c r="D55" s="649" t="s">
        <v>25</v>
      </c>
      <c r="E55" s="649" t="s">
        <v>384</v>
      </c>
      <c r="F55" s="650">
        <v>8888.5</v>
      </c>
      <c r="G55" s="650">
        <v>8888.5</v>
      </c>
      <c r="H55" s="650">
        <v>8888.5</v>
      </c>
      <c r="I55" s="401" t="s">
        <v>1068</v>
      </c>
      <c r="J55" s="655">
        <v>92.8</v>
      </c>
      <c r="K55" s="655">
        <v>92.9</v>
      </c>
      <c r="L55" s="482">
        <v>93</v>
      </c>
    </row>
    <row r="56" spans="1:12" ht="28.5">
      <c r="A56" s="410" t="s">
        <v>32</v>
      </c>
      <c r="B56" s="393" t="s">
        <v>139</v>
      </c>
      <c r="C56" s="402" t="s">
        <v>1100</v>
      </c>
      <c r="D56" s="395" t="s">
        <v>8</v>
      </c>
      <c r="E56" s="402" t="s">
        <v>138</v>
      </c>
      <c r="F56" s="430">
        <f>F57</f>
        <v>249.5</v>
      </c>
      <c r="G56" s="430">
        <f>G57</f>
        <v>237</v>
      </c>
      <c r="H56" s="430">
        <f>H57</f>
        <v>227</v>
      </c>
      <c r="I56" s="396"/>
      <c r="J56" s="404"/>
      <c r="K56" s="404"/>
      <c r="L56" s="404"/>
    </row>
    <row r="57" spans="1:12" ht="30">
      <c r="A57" s="652" t="s">
        <v>95</v>
      </c>
      <c r="B57" s="654" t="s">
        <v>137</v>
      </c>
      <c r="C57" s="652" t="s">
        <v>1100</v>
      </c>
      <c r="D57" s="649" t="s">
        <v>25</v>
      </c>
      <c r="E57" s="649" t="s">
        <v>136</v>
      </c>
      <c r="F57" s="650">
        <v>249.5</v>
      </c>
      <c r="G57" s="650">
        <v>237</v>
      </c>
      <c r="H57" s="650">
        <v>227</v>
      </c>
      <c r="I57" s="401"/>
      <c r="J57" s="655"/>
      <c r="K57" s="655"/>
      <c r="L57" s="655"/>
    </row>
    <row r="58" spans="1:12" ht="42.75">
      <c r="A58" s="402" t="s">
        <v>36</v>
      </c>
      <c r="B58" s="403" t="s">
        <v>385</v>
      </c>
      <c r="C58" s="402" t="s">
        <v>1100</v>
      </c>
      <c r="D58" s="395" t="s">
        <v>8</v>
      </c>
      <c r="E58" s="402" t="s">
        <v>135</v>
      </c>
      <c r="F58" s="430">
        <f>F59+F66</f>
        <v>20129.999999999996</v>
      </c>
      <c r="G58" s="430">
        <f>G59+G66</f>
        <v>19554.199999999997</v>
      </c>
      <c r="H58" s="430">
        <f>H59+H66</f>
        <v>19146.499999999996</v>
      </c>
      <c r="I58" s="404"/>
      <c r="J58" s="404"/>
      <c r="K58" s="404"/>
      <c r="L58" s="404"/>
    </row>
    <row r="59" spans="1:12" ht="28.5">
      <c r="A59" s="392" t="s">
        <v>33</v>
      </c>
      <c r="B59" s="393" t="s">
        <v>134</v>
      </c>
      <c r="C59" s="402" t="s">
        <v>1100</v>
      </c>
      <c r="D59" s="395" t="s">
        <v>8</v>
      </c>
      <c r="E59" s="402" t="s">
        <v>133</v>
      </c>
      <c r="F59" s="430">
        <f>F60+F61+F65+F62</f>
        <v>19860.399999999998</v>
      </c>
      <c r="G59" s="430">
        <f t="shared" ref="G59:H59" si="9">G60+G61+G65+G62</f>
        <v>19298.099999999999</v>
      </c>
      <c r="H59" s="430">
        <f t="shared" si="9"/>
        <v>18901.199999999997</v>
      </c>
      <c r="I59" s="396"/>
      <c r="J59" s="404"/>
      <c r="K59" s="404"/>
      <c r="L59" s="404"/>
    </row>
    <row r="60" spans="1:12" ht="64.5" customHeight="1">
      <c r="A60" s="652" t="s">
        <v>97</v>
      </c>
      <c r="B60" s="651" t="s">
        <v>131</v>
      </c>
      <c r="C60" s="652" t="s">
        <v>1100</v>
      </c>
      <c r="D60" s="649" t="s">
        <v>11</v>
      </c>
      <c r="E60" s="649" t="s">
        <v>1069</v>
      </c>
      <c r="F60" s="650">
        <v>612</v>
      </c>
      <c r="G60" s="650">
        <v>581.4</v>
      </c>
      <c r="H60" s="650">
        <v>556.9</v>
      </c>
      <c r="I60" s="401" t="s">
        <v>1070</v>
      </c>
      <c r="J60" s="655">
        <v>17.7</v>
      </c>
      <c r="K60" s="655">
        <v>17.8</v>
      </c>
      <c r="L60" s="655">
        <v>18</v>
      </c>
    </row>
    <row r="61" spans="1:12" ht="30">
      <c r="A61" s="652" t="s">
        <v>98</v>
      </c>
      <c r="B61" s="654" t="s">
        <v>72</v>
      </c>
      <c r="C61" s="652" t="s">
        <v>1100</v>
      </c>
      <c r="D61" s="649" t="s">
        <v>41</v>
      </c>
      <c r="E61" s="649" t="s">
        <v>132</v>
      </c>
      <c r="F61" s="650">
        <v>125.8</v>
      </c>
      <c r="G61" s="650">
        <v>119.5</v>
      </c>
      <c r="H61" s="650">
        <v>114.5</v>
      </c>
      <c r="I61" s="401"/>
      <c r="J61" s="655"/>
      <c r="K61" s="655"/>
      <c r="L61" s="655"/>
    </row>
    <row r="62" spans="1:12" ht="96.75" customHeight="1">
      <c r="A62" s="652" t="s">
        <v>130</v>
      </c>
      <c r="B62" s="654" t="s">
        <v>292</v>
      </c>
      <c r="C62" s="652" t="s">
        <v>1100</v>
      </c>
      <c r="D62" s="649" t="s">
        <v>37</v>
      </c>
      <c r="E62" s="649" t="s">
        <v>298</v>
      </c>
      <c r="F62" s="650">
        <f>F63+F64</f>
        <v>9910.2999999999993</v>
      </c>
      <c r="G62" s="650">
        <f>G63+G64</f>
        <v>9384.9</v>
      </c>
      <c r="H62" s="650">
        <f>H63+H64</f>
        <v>9017.5</v>
      </c>
      <c r="I62" s="398" t="s">
        <v>1071</v>
      </c>
      <c r="J62" s="655">
        <v>100</v>
      </c>
      <c r="K62" s="655">
        <v>100</v>
      </c>
      <c r="L62" s="655">
        <v>100</v>
      </c>
    </row>
    <row r="63" spans="1:12" ht="30">
      <c r="A63" s="652"/>
      <c r="B63" s="654" t="s">
        <v>128</v>
      </c>
      <c r="C63" s="652" t="s">
        <v>1100</v>
      </c>
      <c r="D63" s="649" t="s">
        <v>37</v>
      </c>
      <c r="E63" s="649" t="s">
        <v>298</v>
      </c>
      <c r="F63" s="650">
        <v>9896.9</v>
      </c>
      <c r="G63" s="650">
        <v>9371.5</v>
      </c>
      <c r="H63" s="650">
        <v>9004.1</v>
      </c>
      <c r="I63" s="401"/>
      <c r="J63" s="655"/>
      <c r="K63" s="655"/>
      <c r="L63" s="655"/>
    </row>
    <row r="64" spans="1:12" ht="60">
      <c r="A64" s="652"/>
      <c r="B64" s="654" t="s">
        <v>126</v>
      </c>
      <c r="C64" s="652" t="s">
        <v>1100</v>
      </c>
      <c r="D64" s="649" t="s">
        <v>30</v>
      </c>
      <c r="E64" s="649" t="s">
        <v>298</v>
      </c>
      <c r="F64" s="650">
        <v>13.4</v>
      </c>
      <c r="G64" s="650">
        <v>13.4</v>
      </c>
      <c r="H64" s="650">
        <v>13.4</v>
      </c>
      <c r="I64" s="483"/>
      <c r="J64" s="655"/>
      <c r="K64" s="655"/>
      <c r="L64" s="655"/>
    </row>
    <row r="65" spans="1:12" ht="90">
      <c r="A65" s="652" t="s">
        <v>129</v>
      </c>
      <c r="B65" s="654" t="s">
        <v>127</v>
      </c>
      <c r="C65" s="652" t="s">
        <v>1100</v>
      </c>
      <c r="D65" s="649" t="s">
        <v>30</v>
      </c>
      <c r="E65" s="649" t="s">
        <v>299</v>
      </c>
      <c r="F65" s="650">
        <v>9212.2999999999993</v>
      </c>
      <c r="G65" s="650">
        <v>9212.2999999999993</v>
      </c>
      <c r="H65" s="650">
        <v>9212.2999999999993</v>
      </c>
      <c r="I65" s="399"/>
      <c r="J65" s="655"/>
      <c r="K65" s="655"/>
      <c r="L65" s="655"/>
    </row>
    <row r="66" spans="1:12" ht="28.5">
      <c r="A66" s="392" t="s">
        <v>125</v>
      </c>
      <c r="B66" s="393" t="s">
        <v>124</v>
      </c>
      <c r="C66" s="402" t="s">
        <v>1100</v>
      </c>
      <c r="D66" s="395" t="s">
        <v>8</v>
      </c>
      <c r="E66" s="402" t="s">
        <v>123</v>
      </c>
      <c r="F66" s="430">
        <f>F67</f>
        <v>269.60000000000002</v>
      </c>
      <c r="G66" s="430">
        <f>G67</f>
        <v>256.10000000000002</v>
      </c>
      <c r="H66" s="430">
        <f>H67</f>
        <v>245.3</v>
      </c>
      <c r="I66" s="396"/>
      <c r="J66" s="404"/>
      <c r="K66" s="404"/>
      <c r="L66" s="404"/>
    </row>
    <row r="67" spans="1:12" ht="45">
      <c r="A67" s="652" t="s">
        <v>122</v>
      </c>
      <c r="B67" s="654" t="s">
        <v>59</v>
      </c>
      <c r="C67" s="652" t="s">
        <v>1100</v>
      </c>
      <c r="D67" s="649" t="s">
        <v>41</v>
      </c>
      <c r="E67" s="649" t="s">
        <v>1072</v>
      </c>
      <c r="F67" s="650">
        <v>269.60000000000002</v>
      </c>
      <c r="G67" s="650">
        <v>256.10000000000002</v>
      </c>
      <c r="H67" s="650">
        <v>245.3</v>
      </c>
      <c r="I67" s="412"/>
      <c r="J67" s="655"/>
      <c r="K67" s="655"/>
      <c r="L67" s="655"/>
    </row>
    <row r="68" spans="1:12" ht="42.75">
      <c r="A68" s="411" t="s">
        <v>42</v>
      </c>
      <c r="B68" s="403" t="s">
        <v>1073</v>
      </c>
      <c r="C68" s="402" t="s">
        <v>1100</v>
      </c>
      <c r="D68" s="395" t="s">
        <v>8</v>
      </c>
      <c r="E68" s="402" t="s">
        <v>121</v>
      </c>
      <c r="F68" s="430">
        <f>F69</f>
        <v>26724.1</v>
      </c>
      <c r="G68" s="430">
        <f t="shared" ref="G68:H68" si="10">G69</f>
        <v>30400</v>
      </c>
      <c r="H68" s="430">
        <f t="shared" si="10"/>
        <v>39622.400000000001</v>
      </c>
      <c r="I68" s="396"/>
      <c r="J68" s="404"/>
      <c r="K68" s="404"/>
      <c r="L68" s="404"/>
    </row>
    <row r="69" spans="1:12" ht="28.5">
      <c r="A69" s="392" t="s">
        <v>34</v>
      </c>
      <c r="B69" s="393" t="s">
        <v>120</v>
      </c>
      <c r="C69" s="402" t="s">
        <v>1100</v>
      </c>
      <c r="D69" s="395" t="s">
        <v>8</v>
      </c>
      <c r="E69" s="402" t="s">
        <v>119</v>
      </c>
      <c r="F69" s="430">
        <f>F70+F73</f>
        <v>26724.1</v>
      </c>
      <c r="G69" s="430">
        <f t="shared" ref="G69:H69" si="11">G70+G73</f>
        <v>30400</v>
      </c>
      <c r="H69" s="430">
        <f t="shared" si="11"/>
        <v>39622.400000000001</v>
      </c>
      <c r="I69" s="396"/>
      <c r="J69" s="404"/>
      <c r="K69" s="404"/>
      <c r="L69" s="404"/>
    </row>
    <row r="70" spans="1:12" ht="85.5" customHeight="1">
      <c r="A70" s="655" t="s">
        <v>100</v>
      </c>
      <c r="B70" s="651" t="s">
        <v>117</v>
      </c>
      <c r="C70" s="655">
        <v>925</v>
      </c>
      <c r="D70" s="648" t="s">
        <v>300</v>
      </c>
      <c r="E70" s="648" t="s">
        <v>301</v>
      </c>
      <c r="F70" s="650">
        <f>F71+F72</f>
        <v>11149.099999999999</v>
      </c>
      <c r="G70" s="650">
        <f>G71+G72</f>
        <v>13400</v>
      </c>
      <c r="H70" s="650">
        <f>H71+H72</f>
        <v>10750</v>
      </c>
      <c r="I70" s="401" t="s">
        <v>386</v>
      </c>
      <c r="J70" s="655"/>
      <c r="K70" s="655"/>
      <c r="L70" s="655"/>
    </row>
    <row r="71" spans="1:12" ht="57.75" customHeight="1">
      <c r="A71" s="655"/>
      <c r="B71" s="409" t="s">
        <v>381</v>
      </c>
      <c r="C71" s="655"/>
      <c r="D71" s="648"/>
      <c r="E71" s="648"/>
      <c r="F71" s="650">
        <v>8361.7999999999993</v>
      </c>
      <c r="G71" s="650">
        <v>10050</v>
      </c>
      <c r="H71" s="650">
        <v>8062.5</v>
      </c>
      <c r="I71" s="401" t="s">
        <v>1074</v>
      </c>
      <c r="J71" s="655">
        <v>100</v>
      </c>
      <c r="K71" s="655">
        <v>100</v>
      </c>
      <c r="L71" s="655">
        <v>100</v>
      </c>
    </row>
    <row r="72" spans="1:12" ht="82.5" customHeight="1">
      <c r="A72" s="655"/>
      <c r="B72" s="409" t="s">
        <v>382</v>
      </c>
      <c r="C72" s="655"/>
      <c r="D72" s="648"/>
      <c r="E72" s="648"/>
      <c r="F72" s="650">
        <v>2787.3</v>
      </c>
      <c r="G72" s="650">
        <v>3350</v>
      </c>
      <c r="H72" s="650">
        <v>2687.5</v>
      </c>
      <c r="I72" s="401" t="s">
        <v>189</v>
      </c>
      <c r="J72" s="655">
        <v>90</v>
      </c>
      <c r="K72" s="655">
        <v>90</v>
      </c>
      <c r="L72" s="655">
        <v>90</v>
      </c>
    </row>
    <row r="73" spans="1:12" ht="54" customHeight="1">
      <c r="A73" s="655" t="s">
        <v>118</v>
      </c>
      <c r="B73" s="409" t="s">
        <v>1075</v>
      </c>
      <c r="C73" s="655">
        <v>925</v>
      </c>
      <c r="D73" s="648" t="s">
        <v>1076</v>
      </c>
      <c r="E73" s="648" t="s">
        <v>1077</v>
      </c>
      <c r="F73" s="650">
        <f>F74+F75</f>
        <v>15575</v>
      </c>
      <c r="G73" s="650">
        <f t="shared" ref="G73:H73" si="12">G74+G75</f>
        <v>17000</v>
      </c>
      <c r="H73" s="650">
        <f t="shared" si="12"/>
        <v>28872.400000000001</v>
      </c>
      <c r="I73" s="401"/>
      <c r="J73" s="655"/>
      <c r="K73" s="655"/>
      <c r="L73" s="655"/>
    </row>
    <row r="74" spans="1:12" ht="39" customHeight="1">
      <c r="A74" s="655"/>
      <c r="B74" s="409" t="s">
        <v>381</v>
      </c>
      <c r="C74" s="655"/>
      <c r="D74" s="648"/>
      <c r="E74" s="648"/>
      <c r="F74" s="650">
        <v>7787.5</v>
      </c>
      <c r="G74" s="650">
        <v>8500</v>
      </c>
      <c r="H74" s="650">
        <v>14436.2</v>
      </c>
      <c r="I74" s="401"/>
      <c r="J74" s="655"/>
      <c r="K74" s="655"/>
      <c r="L74" s="655"/>
    </row>
    <row r="75" spans="1:12" ht="30" customHeight="1">
      <c r="A75" s="655"/>
      <c r="B75" s="409" t="s">
        <v>382</v>
      </c>
      <c r="C75" s="655"/>
      <c r="D75" s="648"/>
      <c r="E75" s="648"/>
      <c r="F75" s="650">
        <v>7787.5</v>
      </c>
      <c r="G75" s="650">
        <v>8500</v>
      </c>
      <c r="H75" s="650">
        <v>14436.2</v>
      </c>
      <c r="I75" s="401"/>
      <c r="J75" s="655"/>
      <c r="K75" s="655"/>
      <c r="L75" s="655"/>
    </row>
    <row r="76" spans="1:12" ht="65.25" customHeight="1">
      <c r="A76" s="402" t="s">
        <v>101</v>
      </c>
      <c r="B76" s="403" t="s">
        <v>116</v>
      </c>
      <c r="C76" s="402" t="s">
        <v>1100</v>
      </c>
      <c r="D76" s="395" t="s">
        <v>8</v>
      </c>
      <c r="E76" s="402" t="s">
        <v>115</v>
      </c>
      <c r="F76" s="430">
        <f>F77+F79+F81</f>
        <v>18053.5</v>
      </c>
      <c r="G76" s="430">
        <f>G77+G79+G81</f>
        <v>16971.5</v>
      </c>
      <c r="H76" s="430">
        <f>H77+H79+H81</f>
        <v>16256.800000000001</v>
      </c>
      <c r="I76" s="404"/>
      <c r="J76" s="404"/>
      <c r="K76" s="404"/>
      <c r="L76" s="404"/>
    </row>
    <row r="77" spans="1:12" ht="51" customHeight="1">
      <c r="A77" s="392" t="s">
        <v>35</v>
      </c>
      <c r="B77" s="393" t="s">
        <v>114</v>
      </c>
      <c r="C77" s="402" t="s">
        <v>1100</v>
      </c>
      <c r="D77" s="395" t="s">
        <v>8</v>
      </c>
      <c r="E77" s="402" t="s">
        <v>113</v>
      </c>
      <c r="F77" s="430">
        <f>F78</f>
        <v>3310.3</v>
      </c>
      <c r="G77" s="430">
        <f>G78</f>
        <v>3144.8</v>
      </c>
      <c r="H77" s="430">
        <f>H78</f>
        <v>3012.3</v>
      </c>
      <c r="I77" s="396"/>
      <c r="J77" s="404"/>
      <c r="K77" s="404"/>
      <c r="L77" s="404"/>
    </row>
    <row r="78" spans="1:12" s="414" customFormat="1" ht="45.75" customHeight="1">
      <c r="A78" s="652" t="s">
        <v>103</v>
      </c>
      <c r="B78" s="413" t="s">
        <v>112</v>
      </c>
      <c r="C78" s="652" t="s">
        <v>1100</v>
      </c>
      <c r="D78" s="649" t="s">
        <v>41</v>
      </c>
      <c r="E78" s="649" t="s">
        <v>111</v>
      </c>
      <c r="F78" s="650">
        <v>3310.3</v>
      </c>
      <c r="G78" s="650">
        <v>3144.8</v>
      </c>
      <c r="H78" s="650">
        <v>3012.3</v>
      </c>
      <c r="I78" s="401" t="s">
        <v>1078</v>
      </c>
      <c r="J78" s="648">
        <v>95</v>
      </c>
      <c r="K78" s="648">
        <v>95</v>
      </c>
      <c r="L78" s="648">
        <v>95</v>
      </c>
    </row>
    <row r="79" spans="1:12" ht="38.25" customHeight="1">
      <c r="A79" s="392" t="s">
        <v>110</v>
      </c>
      <c r="B79" s="393" t="s">
        <v>302</v>
      </c>
      <c r="C79" s="402" t="s">
        <v>1100</v>
      </c>
      <c r="D79" s="395" t="s">
        <v>8</v>
      </c>
      <c r="E79" s="402" t="s">
        <v>109</v>
      </c>
      <c r="F79" s="430">
        <f>F80</f>
        <v>14428.3</v>
      </c>
      <c r="G79" s="430">
        <f>G80</f>
        <v>13527.6</v>
      </c>
      <c r="H79" s="430">
        <f>H80</f>
        <v>12957.9</v>
      </c>
      <c r="I79" s="396"/>
      <c r="J79" s="404"/>
      <c r="K79" s="404"/>
      <c r="L79" s="404"/>
    </row>
    <row r="80" spans="1:12" s="414" customFormat="1" ht="30.75" customHeight="1">
      <c r="A80" s="652" t="s">
        <v>108</v>
      </c>
      <c r="B80" s="413" t="s">
        <v>212</v>
      </c>
      <c r="C80" s="652" t="s">
        <v>1100</v>
      </c>
      <c r="D80" s="649" t="s">
        <v>41</v>
      </c>
      <c r="E80" s="649" t="s">
        <v>303</v>
      </c>
      <c r="F80" s="650">
        <v>14428.3</v>
      </c>
      <c r="G80" s="650">
        <v>13527.6</v>
      </c>
      <c r="H80" s="650">
        <v>12957.9</v>
      </c>
      <c r="I80" s="401"/>
      <c r="J80" s="655"/>
      <c r="K80" s="655"/>
      <c r="L80" s="655"/>
    </row>
    <row r="81" spans="1:12" ht="39.75" customHeight="1">
      <c r="A81" s="392" t="s">
        <v>107</v>
      </c>
      <c r="B81" s="393" t="s">
        <v>106</v>
      </c>
      <c r="C81" s="402" t="s">
        <v>1100</v>
      </c>
      <c r="D81" s="395" t="s">
        <v>8</v>
      </c>
      <c r="E81" s="402" t="s">
        <v>105</v>
      </c>
      <c r="F81" s="430">
        <f>F82+F85</f>
        <v>314.89999999999998</v>
      </c>
      <c r="G81" s="430">
        <f t="shared" ref="G81:H81" si="13">G82+G85</f>
        <v>299.09999999999997</v>
      </c>
      <c r="H81" s="430">
        <f t="shared" si="13"/>
        <v>286.60000000000002</v>
      </c>
      <c r="I81" s="396"/>
      <c r="J81" s="404"/>
      <c r="K81" s="404"/>
      <c r="L81" s="404"/>
    </row>
    <row r="82" spans="1:12" s="414" customFormat="1">
      <c r="A82" s="775" t="s">
        <v>104</v>
      </c>
      <c r="B82" s="786" t="s">
        <v>58</v>
      </c>
      <c r="C82" s="775" t="s">
        <v>1100</v>
      </c>
      <c r="D82" s="776" t="s">
        <v>392</v>
      </c>
      <c r="E82" s="776" t="s">
        <v>1079</v>
      </c>
      <c r="F82" s="766">
        <f>48.1+117.1+139.8</f>
        <v>305</v>
      </c>
      <c r="G82" s="766">
        <v>289.7</v>
      </c>
      <c r="H82" s="766">
        <v>277.60000000000002</v>
      </c>
      <c r="I82" s="774" t="s">
        <v>43</v>
      </c>
      <c r="J82" s="777">
        <v>40</v>
      </c>
      <c r="K82" s="777">
        <v>41</v>
      </c>
      <c r="L82" s="777">
        <v>41</v>
      </c>
    </row>
    <row r="83" spans="1:12" s="414" customFormat="1">
      <c r="A83" s="775"/>
      <c r="B83" s="786"/>
      <c r="C83" s="775"/>
      <c r="D83" s="776"/>
      <c r="E83" s="776"/>
      <c r="F83" s="766"/>
      <c r="G83" s="766"/>
      <c r="H83" s="766"/>
      <c r="I83" s="790"/>
      <c r="J83" s="787"/>
      <c r="K83" s="787"/>
      <c r="L83" s="787"/>
    </row>
    <row r="84" spans="1:12" s="414" customFormat="1" ht="42.75" customHeight="1">
      <c r="A84" s="775"/>
      <c r="B84" s="786"/>
      <c r="C84" s="775"/>
      <c r="D84" s="776"/>
      <c r="E84" s="776"/>
      <c r="F84" s="766"/>
      <c r="G84" s="766"/>
      <c r="H84" s="766"/>
      <c r="I84" s="790"/>
      <c r="J84" s="787"/>
      <c r="K84" s="787"/>
      <c r="L84" s="787"/>
    </row>
    <row r="85" spans="1:12" s="414" customFormat="1">
      <c r="A85" s="652" t="s">
        <v>304</v>
      </c>
      <c r="B85" s="653" t="s">
        <v>305</v>
      </c>
      <c r="C85" s="652" t="s">
        <v>1100</v>
      </c>
      <c r="D85" s="649" t="s">
        <v>41</v>
      </c>
      <c r="E85" s="649" t="s">
        <v>1080</v>
      </c>
      <c r="F85" s="650">
        <v>9.9</v>
      </c>
      <c r="G85" s="650">
        <v>9.4</v>
      </c>
      <c r="H85" s="650">
        <v>9</v>
      </c>
      <c r="I85" s="401"/>
      <c r="J85" s="655"/>
      <c r="K85" s="655"/>
      <c r="L85" s="655"/>
    </row>
    <row r="86" spans="1:12" ht="19.5" customHeight="1">
      <c r="A86" s="415"/>
      <c r="B86" s="416"/>
      <c r="C86" s="417"/>
      <c r="D86" s="418"/>
      <c r="E86" s="419"/>
      <c r="F86" s="420"/>
      <c r="G86" s="421"/>
      <c r="H86" s="421"/>
      <c r="I86" s="417"/>
      <c r="J86" s="417"/>
      <c r="K86" s="417"/>
      <c r="L86" s="417"/>
    </row>
    <row r="87" spans="1:12" ht="18.75" customHeight="1">
      <c r="A87" s="419"/>
      <c r="B87" s="416"/>
      <c r="C87" s="419"/>
      <c r="D87" s="422"/>
      <c r="E87" s="419"/>
      <c r="F87" s="423"/>
      <c r="G87" s="424"/>
      <c r="H87" s="424"/>
      <c r="I87" s="417"/>
      <c r="J87" s="417"/>
      <c r="K87" s="425"/>
      <c r="L87" s="425"/>
    </row>
    <row r="88" spans="1:12" ht="17.25" customHeight="1">
      <c r="A88" s="419"/>
      <c r="B88" s="416"/>
      <c r="C88" s="419"/>
      <c r="D88" s="422"/>
      <c r="E88" s="419"/>
      <c r="F88" s="424"/>
      <c r="G88" s="424"/>
      <c r="H88" s="424"/>
      <c r="I88" s="417"/>
      <c r="J88" s="417"/>
      <c r="K88" s="425"/>
      <c r="L88" s="425"/>
    </row>
    <row r="89" spans="1:12" ht="18.75" customHeight="1">
      <c r="A89" s="419"/>
      <c r="B89" s="416"/>
      <c r="C89" s="419"/>
      <c r="D89" s="422"/>
      <c r="E89" s="419"/>
      <c r="F89" s="421"/>
      <c r="G89" s="426"/>
      <c r="H89" s="426"/>
      <c r="I89" s="417"/>
      <c r="J89" s="417"/>
      <c r="K89" s="417"/>
      <c r="L89" s="417"/>
    </row>
    <row r="90" spans="1:12" ht="18.75" customHeight="1">
      <c r="A90" s="419"/>
      <c r="B90" s="416"/>
      <c r="C90" s="419"/>
      <c r="D90" s="422"/>
      <c r="E90" s="419"/>
      <c r="F90" s="421"/>
      <c r="G90" s="426"/>
      <c r="H90" s="426"/>
      <c r="I90" s="417"/>
      <c r="J90" s="417"/>
      <c r="K90" s="417"/>
      <c r="L90" s="417"/>
    </row>
    <row r="91" spans="1:12" ht="19.5" customHeight="1">
      <c r="A91" s="419"/>
      <c r="B91" s="416"/>
      <c r="C91" s="419"/>
      <c r="D91" s="422"/>
      <c r="E91" s="419"/>
      <c r="F91" s="426"/>
      <c r="G91" s="426"/>
      <c r="H91" s="426"/>
      <c r="I91" s="417"/>
      <c r="J91" s="417"/>
      <c r="K91" s="417"/>
      <c r="L91" s="417"/>
    </row>
    <row r="92" spans="1:12" ht="18.75" customHeight="1">
      <c r="A92" s="419"/>
      <c r="B92" s="416"/>
      <c r="C92" s="419"/>
      <c r="D92" s="422"/>
      <c r="E92" s="419"/>
      <c r="F92" s="421"/>
      <c r="G92" s="421"/>
      <c r="I92" s="417"/>
      <c r="J92" s="417"/>
      <c r="K92" s="417"/>
      <c r="L92" s="417"/>
    </row>
    <row r="93" spans="1:12" ht="18.75" customHeight="1">
      <c r="A93" s="419"/>
      <c r="B93" s="416"/>
      <c r="C93" s="419"/>
      <c r="D93" s="422"/>
      <c r="E93" s="419"/>
      <c r="F93" s="421"/>
      <c r="G93" s="421"/>
      <c r="H93" s="421"/>
      <c r="I93" s="417"/>
      <c r="J93" s="417"/>
      <c r="K93" s="417"/>
      <c r="L93" s="417"/>
    </row>
    <row r="94" spans="1:12" ht="18.75" customHeight="1">
      <c r="A94" s="419"/>
      <c r="B94" s="416"/>
      <c r="C94" s="419"/>
      <c r="D94" s="422"/>
      <c r="E94" s="419"/>
      <c r="F94" s="421"/>
      <c r="G94" s="421"/>
      <c r="H94" s="421"/>
      <c r="I94" s="417"/>
      <c r="J94" s="417"/>
      <c r="K94" s="417"/>
      <c r="L94" s="417"/>
    </row>
    <row r="95" spans="1:12" ht="18.75" customHeight="1">
      <c r="A95" s="419"/>
      <c r="B95" s="416"/>
      <c r="C95" s="419"/>
      <c r="D95" s="422"/>
      <c r="E95" s="419"/>
      <c r="F95" s="421"/>
      <c r="G95" s="421"/>
      <c r="H95" s="421"/>
      <c r="I95" s="417"/>
      <c r="J95" s="417"/>
      <c r="K95" s="417"/>
      <c r="L95" s="417"/>
    </row>
    <row r="96" spans="1:12" ht="18.75" customHeight="1">
      <c r="A96" s="419"/>
      <c r="B96" s="416"/>
      <c r="C96" s="419"/>
      <c r="D96" s="422"/>
      <c r="E96" s="419"/>
      <c r="F96" s="421"/>
      <c r="G96" s="427"/>
      <c r="H96" s="427"/>
      <c r="I96" s="417"/>
      <c r="J96" s="417"/>
      <c r="K96" s="417"/>
      <c r="L96" s="417"/>
    </row>
  </sheetData>
  <mergeCells count="56">
    <mergeCell ref="G82:G84"/>
    <mergeCell ref="H82:H84"/>
    <mergeCell ref="I82:I84"/>
    <mergeCell ref="J82:J84"/>
    <mergeCell ref="K82:K84"/>
    <mergeCell ref="L82:L84"/>
    <mergeCell ref="I52:I54"/>
    <mergeCell ref="J52:J54"/>
    <mergeCell ref="K52:K54"/>
    <mergeCell ref="L52:L54"/>
    <mergeCell ref="F82:F84"/>
    <mergeCell ref="A34:A36"/>
    <mergeCell ref="A37:A41"/>
    <mergeCell ref="A44:A45"/>
    <mergeCell ref="B44:B45"/>
    <mergeCell ref="A52:A53"/>
    <mergeCell ref="B52:B53"/>
    <mergeCell ref="A82:A84"/>
    <mergeCell ref="B82:B84"/>
    <mergeCell ref="C82:C84"/>
    <mergeCell ref="D82:D84"/>
    <mergeCell ref="E82:E84"/>
    <mergeCell ref="A27:A28"/>
    <mergeCell ref="B27:B28"/>
    <mergeCell ref="I27:I28"/>
    <mergeCell ref="J27:J28"/>
    <mergeCell ref="K27:K28"/>
    <mergeCell ref="L27:L28"/>
    <mergeCell ref="G23:G24"/>
    <mergeCell ref="H23:H24"/>
    <mergeCell ref="I23:I24"/>
    <mergeCell ref="J23:J24"/>
    <mergeCell ref="K23:K24"/>
    <mergeCell ref="L23:L24"/>
    <mergeCell ref="F23:F24"/>
    <mergeCell ref="A15:A16"/>
    <mergeCell ref="B15:B16"/>
    <mergeCell ref="I15:I16"/>
    <mergeCell ref="J15:J16"/>
    <mergeCell ref="A23:A24"/>
    <mergeCell ref="B23:B24"/>
    <mergeCell ref="C23:C24"/>
    <mergeCell ref="D23:D24"/>
    <mergeCell ref="E23:E24"/>
    <mergeCell ref="K15:K16"/>
    <mergeCell ref="L15:L16"/>
    <mergeCell ref="J1:L1"/>
    <mergeCell ref="J2:L2"/>
    <mergeCell ref="A3:I3"/>
    <mergeCell ref="A4:I4"/>
    <mergeCell ref="A8:A10"/>
    <mergeCell ref="B8:B10"/>
    <mergeCell ref="C8:E9"/>
    <mergeCell ref="F8:H9"/>
    <mergeCell ref="I8:I10"/>
    <mergeCell ref="J8:L9"/>
  </mergeCells>
  <pageMargins left="0" right="0" top="0.19685039370078741" bottom="0.19685039370078741"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R65"/>
  <sheetViews>
    <sheetView topLeftCell="A4" zoomScale="80" zoomScaleNormal="80" workbookViewId="0">
      <selection activeCell="A54" sqref="A54:XFD54"/>
    </sheetView>
  </sheetViews>
  <sheetFormatPr defaultRowHeight="15"/>
  <cols>
    <col min="1" max="1" width="5.140625" style="20" customWidth="1"/>
    <col min="2" max="2" width="57.5703125" style="558" customWidth="1"/>
    <col min="3" max="3" width="9.42578125" style="559" customWidth="1"/>
    <col min="4" max="4" width="9.28515625" style="559" customWidth="1"/>
    <col min="5" max="5" width="16.28515625" style="559" customWidth="1"/>
    <col min="6" max="6" width="10.85546875" style="560" hidden="1" customWidth="1"/>
    <col min="7" max="7" width="11.85546875" style="561" customWidth="1"/>
    <col min="8" max="8" width="0" style="560" hidden="1" customWidth="1"/>
    <col min="9" max="9" width="0.5703125" style="561" hidden="1" customWidth="1"/>
    <col min="10" max="10" width="53.7109375" style="562" hidden="1" customWidth="1"/>
    <col min="11" max="11" width="13.28515625" style="563" customWidth="1"/>
    <col min="12" max="12" width="10.85546875" style="563" customWidth="1"/>
    <col min="13" max="13" width="49.85546875" style="564" customWidth="1"/>
    <col min="14" max="14" width="10.140625" style="559" customWidth="1"/>
    <col min="15" max="15" width="10.28515625" style="559" customWidth="1"/>
    <col min="16" max="16" width="10.42578125" style="559" customWidth="1"/>
    <col min="17" max="256" width="9.140625" style="20"/>
    <col min="257" max="257" width="5.140625" style="20" customWidth="1"/>
    <col min="258" max="258" width="29.28515625" style="20" customWidth="1"/>
    <col min="259" max="259" width="9.42578125" style="20" customWidth="1"/>
    <col min="260" max="260" width="9.28515625" style="20" customWidth="1"/>
    <col min="261" max="261" width="16.28515625" style="20" customWidth="1"/>
    <col min="262" max="262" width="0" style="20" hidden="1" customWidth="1"/>
    <col min="263" max="263" width="9.85546875" style="20" customWidth="1"/>
    <col min="264" max="265" width="0" style="20" hidden="1" customWidth="1"/>
    <col min="266" max="266" width="31.5703125" style="20" customWidth="1"/>
    <col min="267" max="267" width="13.28515625" style="20" customWidth="1"/>
    <col min="268" max="268" width="10.85546875" style="20" customWidth="1"/>
    <col min="269" max="269" width="23.7109375" style="20" customWidth="1"/>
    <col min="270" max="270" width="10.140625" style="20" customWidth="1"/>
    <col min="271" max="271" width="10.28515625" style="20" customWidth="1"/>
    <col min="272" max="272" width="10.42578125" style="20" customWidth="1"/>
    <col min="273" max="512" width="9.140625" style="20"/>
    <col min="513" max="513" width="5.140625" style="20" customWidth="1"/>
    <col min="514" max="514" width="29.28515625" style="20" customWidth="1"/>
    <col min="515" max="515" width="9.42578125" style="20" customWidth="1"/>
    <col min="516" max="516" width="9.28515625" style="20" customWidth="1"/>
    <col min="517" max="517" width="16.28515625" style="20" customWidth="1"/>
    <col min="518" max="518" width="0" style="20" hidden="1" customWidth="1"/>
    <col min="519" max="519" width="9.85546875" style="20" customWidth="1"/>
    <col min="520" max="521" width="0" style="20" hidden="1" customWidth="1"/>
    <col min="522" max="522" width="31.5703125" style="20" customWidth="1"/>
    <col min="523" max="523" width="13.28515625" style="20" customWidth="1"/>
    <col min="524" max="524" width="10.85546875" style="20" customWidth="1"/>
    <col min="525" max="525" width="23.7109375" style="20" customWidth="1"/>
    <col min="526" max="526" width="10.140625" style="20" customWidth="1"/>
    <col min="527" max="527" width="10.28515625" style="20" customWidth="1"/>
    <col min="528" max="528" width="10.42578125" style="20" customWidth="1"/>
    <col min="529" max="768" width="9.140625" style="20"/>
    <col min="769" max="769" width="5.140625" style="20" customWidth="1"/>
    <col min="770" max="770" width="29.28515625" style="20" customWidth="1"/>
    <col min="771" max="771" width="9.42578125" style="20" customWidth="1"/>
    <col min="772" max="772" width="9.28515625" style="20" customWidth="1"/>
    <col min="773" max="773" width="16.28515625" style="20" customWidth="1"/>
    <col min="774" max="774" width="0" style="20" hidden="1" customWidth="1"/>
    <col min="775" max="775" width="9.85546875" style="20" customWidth="1"/>
    <col min="776" max="777" width="0" style="20" hidden="1" customWidth="1"/>
    <col min="778" max="778" width="31.5703125" style="20" customWidth="1"/>
    <col min="779" max="779" width="13.28515625" style="20" customWidth="1"/>
    <col min="780" max="780" width="10.85546875" style="20" customWidth="1"/>
    <col min="781" max="781" width="23.7109375" style="20" customWidth="1"/>
    <col min="782" max="782" width="10.140625" style="20" customWidth="1"/>
    <col min="783" max="783" width="10.28515625" style="20" customWidth="1"/>
    <col min="784" max="784" width="10.42578125" style="20" customWidth="1"/>
    <col min="785" max="1024" width="9.140625" style="20"/>
    <col min="1025" max="1025" width="5.140625" style="20" customWidth="1"/>
    <col min="1026" max="1026" width="29.28515625" style="20" customWidth="1"/>
    <col min="1027" max="1027" width="9.42578125" style="20" customWidth="1"/>
    <col min="1028" max="1028" width="9.28515625" style="20" customWidth="1"/>
    <col min="1029" max="1029" width="16.28515625" style="20" customWidth="1"/>
    <col min="1030" max="1030" width="0" style="20" hidden="1" customWidth="1"/>
    <col min="1031" max="1031" width="9.85546875" style="20" customWidth="1"/>
    <col min="1032" max="1033" width="0" style="20" hidden="1" customWidth="1"/>
    <col min="1034" max="1034" width="31.5703125" style="20" customWidth="1"/>
    <col min="1035" max="1035" width="13.28515625" style="20" customWidth="1"/>
    <col min="1036" max="1036" width="10.85546875" style="20" customWidth="1"/>
    <col min="1037" max="1037" width="23.7109375" style="20" customWidth="1"/>
    <col min="1038" max="1038" width="10.140625" style="20" customWidth="1"/>
    <col min="1039" max="1039" width="10.28515625" style="20" customWidth="1"/>
    <col min="1040" max="1040" width="10.42578125" style="20" customWidth="1"/>
    <col min="1041" max="1280" width="9.140625" style="20"/>
    <col min="1281" max="1281" width="5.140625" style="20" customWidth="1"/>
    <col min="1282" max="1282" width="29.28515625" style="20" customWidth="1"/>
    <col min="1283" max="1283" width="9.42578125" style="20" customWidth="1"/>
    <col min="1284" max="1284" width="9.28515625" style="20" customWidth="1"/>
    <col min="1285" max="1285" width="16.28515625" style="20" customWidth="1"/>
    <col min="1286" max="1286" width="0" style="20" hidden="1" customWidth="1"/>
    <col min="1287" max="1287" width="9.85546875" style="20" customWidth="1"/>
    <col min="1288" max="1289" width="0" style="20" hidden="1" customWidth="1"/>
    <col min="1290" max="1290" width="31.5703125" style="20" customWidth="1"/>
    <col min="1291" max="1291" width="13.28515625" style="20" customWidth="1"/>
    <col min="1292" max="1292" width="10.85546875" style="20" customWidth="1"/>
    <col min="1293" max="1293" width="23.7109375" style="20" customWidth="1"/>
    <col min="1294" max="1294" width="10.140625" style="20" customWidth="1"/>
    <col min="1295" max="1295" width="10.28515625" style="20" customWidth="1"/>
    <col min="1296" max="1296" width="10.42578125" style="20" customWidth="1"/>
    <col min="1297" max="1536" width="9.140625" style="20"/>
    <col min="1537" max="1537" width="5.140625" style="20" customWidth="1"/>
    <col min="1538" max="1538" width="29.28515625" style="20" customWidth="1"/>
    <col min="1539" max="1539" width="9.42578125" style="20" customWidth="1"/>
    <col min="1540" max="1540" width="9.28515625" style="20" customWidth="1"/>
    <col min="1541" max="1541" width="16.28515625" style="20" customWidth="1"/>
    <col min="1542" max="1542" width="0" style="20" hidden="1" customWidth="1"/>
    <col min="1543" max="1543" width="9.85546875" style="20" customWidth="1"/>
    <col min="1544" max="1545" width="0" style="20" hidden="1" customWidth="1"/>
    <col min="1546" max="1546" width="31.5703125" style="20" customWidth="1"/>
    <col min="1547" max="1547" width="13.28515625" style="20" customWidth="1"/>
    <col min="1548" max="1548" width="10.85546875" style="20" customWidth="1"/>
    <col min="1549" max="1549" width="23.7109375" style="20" customWidth="1"/>
    <col min="1550" max="1550" width="10.140625" style="20" customWidth="1"/>
    <col min="1551" max="1551" width="10.28515625" style="20" customWidth="1"/>
    <col min="1552" max="1552" width="10.42578125" style="20" customWidth="1"/>
    <col min="1553" max="1792" width="9.140625" style="20"/>
    <col min="1793" max="1793" width="5.140625" style="20" customWidth="1"/>
    <col min="1794" max="1794" width="29.28515625" style="20" customWidth="1"/>
    <col min="1795" max="1795" width="9.42578125" style="20" customWidth="1"/>
    <col min="1796" max="1796" width="9.28515625" style="20" customWidth="1"/>
    <col min="1797" max="1797" width="16.28515625" style="20" customWidth="1"/>
    <col min="1798" max="1798" width="0" style="20" hidden="1" customWidth="1"/>
    <col min="1799" max="1799" width="9.85546875" style="20" customWidth="1"/>
    <col min="1800" max="1801" width="0" style="20" hidden="1" customWidth="1"/>
    <col min="1802" max="1802" width="31.5703125" style="20" customWidth="1"/>
    <col min="1803" max="1803" width="13.28515625" style="20" customWidth="1"/>
    <col min="1804" max="1804" width="10.85546875" style="20" customWidth="1"/>
    <col min="1805" max="1805" width="23.7109375" style="20" customWidth="1"/>
    <col min="1806" max="1806" width="10.140625" style="20" customWidth="1"/>
    <col min="1807" max="1807" width="10.28515625" style="20" customWidth="1"/>
    <col min="1808" max="1808" width="10.42578125" style="20" customWidth="1"/>
    <col min="1809" max="2048" width="9.140625" style="20"/>
    <col min="2049" max="2049" width="5.140625" style="20" customWidth="1"/>
    <col min="2050" max="2050" width="29.28515625" style="20" customWidth="1"/>
    <col min="2051" max="2051" width="9.42578125" style="20" customWidth="1"/>
    <col min="2052" max="2052" width="9.28515625" style="20" customWidth="1"/>
    <col min="2053" max="2053" width="16.28515625" style="20" customWidth="1"/>
    <col min="2054" max="2054" width="0" style="20" hidden="1" customWidth="1"/>
    <col min="2055" max="2055" width="9.85546875" style="20" customWidth="1"/>
    <col min="2056" max="2057" width="0" style="20" hidden="1" customWidth="1"/>
    <col min="2058" max="2058" width="31.5703125" style="20" customWidth="1"/>
    <col min="2059" max="2059" width="13.28515625" style="20" customWidth="1"/>
    <col min="2060" max="2060" width="10.85546875" style="20" customWidth="1"/>
    <col min="2061" max="2061" width="23.7109375" style="20" customWidth="1"/>
    <col min="2062" max="2062" width="10.140625" style="20" customWidth="1"/>
    <col min="2063" max="2063" width="10.28515625" style="20" customWidth="1"/>
    <col min="2064" max="2064" width="10.42578125" style="20" customWidth="1"/>
    <col min="2065" max="2304" width="9.140625" style="20"/>
    <col min="2305" max="2305" width="5.140625" style="20" customWidth="1"/>
    <col min="2306" max="2306" width="29.28515625" style="20" customWidth="1"/>
    <col min="2307" max="2307" width="9.42578125" style="20" customWidth="1"/>
    <col min="2308" max="2308" width="9.28515625" style="20" customWidth="1"/>
    <col min="2309" max="2309" width="16.28515625" style="20" customWidth="1"/>
    <col min="2310" max="2310" width="0" style="20" hidden="1" customWidth="1"/>
    <col min="2311" max="2311" width="9.85546875" style="20" customWidth="1"/>
    <col min="2312" max="2313" width="0" style="20" hidden="1" customWidth="1"/>
    <col min="2314" max="2314" width="31.5703125" style="20" customWidth="1"/>
    <col min="2315" max="2315" width="13.28515625" style="20" customWidth="1"/>
    <col min="2316" max="2316" width="10.85546875" style="20" customWidth="1"/>
    <col min="2317" max="2317" width="23.7109375" style="20" customWidth="1"/>
    <col min="2318" max="2318" width="10.140625" style="20" customWidth="1"/>
    <col min="2319" max="2319" width="10.28515625" style="20" customWidth="1"/>
    <col min="2320" max="2320" width="10.42578125" style="20" customWidth="1"/>
    <col min="2321" max="2560" width="9.140625" style="20"/>
    <col min="2561" max="2561" width="5.140625" style="20" customWidth="1"/>
    <col min="2562" max="2562" width="29.28515625" style="20" customWidth="1"/>
    <col min="2563" max="2563" width="9.42578125" style="20" customWidth="1"/>
    <col min="2564" max="2564" width="9.28515625" style="20" customWidth="1"/>
    <col min="2565" max="2565" width="16.28515625" style="20" customWidth="1"/>
    <col min="2566" max="2566" width="0" style="20" hidden="1" customWidth="1"/>
    <col min="2567" max="2567" width="9.85546875" style="20" customWidth="1"/>
    <col min="2568" max="2569" width="0" style="20" hidden="1" customWidth="1"/>
    <col min="2570" max="2570" width="31.5703125" style="20" customWidth="1"/>
    <col min="2571" max="2571" width="13.28515625" style="20" customWidth="1"/>
    <col min="2572" max="2572" width="10.85546875" style="20" customWidth="1"/>
    <col min="2573" max="2573" width="23.7109375" style="20" customWidth="1"/>
    <col min="2574" max="2574" width="10.140625" style="20" customWidth="1"/>
    <col min="2575" max="2575" width="10.28515625" style="20" customWidth="1"/>
    <col min="2576" max="2576" width="10.42578125" style="20" customWidth="1"/>
    <col min="2577" max="2816" width="9.140625" style="20"/>
    <col min="2817" max="2817" width="5.140625" style="20" customWidth="1"/>
    <col min="2818" max="2818" width="29.28515625" style="20" customWidth="1"/>
    <col min="2819" max="2819" width="9.42578125" style="20" customWidth="1"/>
    <col min="2820" max="2820" width="9.28515625" style="20" customWidth="1"/>
    <col min="2821" max="2821" width="16.28515625" style="20" customWidth="1"/>
    <col min="2822" max="2822" width="0" style="20" hidden="1" customWidth="1"/>
    <col min="2823" max="2823" width="9.85546875" style="20" customWidth="1"/>
    <col min="2824" max="2825" width="0" style="20" hidden="1" customWidth="1"/>
    <col min="2826" max="2826" width="31.5703125" style="20" customWidth="1"/>
    <col min="2827" max="2827" width="13.28515625" style="20" customWidth="1"/>
    <col min="2828" max="2828" width="10.85546875" style="20" customWidth="1"/>
    <col min="2829" max="2829" width="23.7109375" style="20" customWidth="1"/>
    <col min="2830" max="2830" width="10.140625" style="20" customWidth="1"/>
    <col min="2831" max="2831" width="10.28515625" style="20" customWidth="1"/>
    <col min="2832" max="2832" width="10.42578125" style="20" customWidth="1"/>
    <col min="2833" max="3072" width="9.140625" style="20"/>
    <col min="3073" max="3073" width="5.140625" style="20" customWidth="1"/>
    <col min="3074" max="3074" width="29.28515625" style="20" customWidth="1"/>
    <col min="3075" max="3075" width="9.42578125" style="20" customWidth="1"/>
    <col min="3076" max="3076" width="9.28515625" style="20" customWidth="1"/>
    <col min="3077" max="3077" width="16.28515625" style="20" customWidth="1"/>
    <col min="3078" max="3078" width="0" style="20" hidden="1" customWidth="1"/>
    <col min="3079" max="3079" width="9.85546875" style="20" customWidth="1"/>
    <col min="3080" max="3081" width="0" style="20" hidden="1" customWidth="1"/>
    <col min="3082" max="3082" width="31.5703125" style="20" customWidth="1"/>
    <col min="3083" max="3083" width="13.28515625" style="20" customWidth="1"/>
    <col min="3084" max="3084" width="10.85546875" style="20" customWidth="1"/>
    <col min="3085" max="3085" width="23.7109375" style="20" customWidth="1"/>
    <col min="3086" max="3086" width="10.140625" style="20" customWidth="1"/>
    <col min="3087" max="3087" width="10.28515625" style="20" customWidth="1"/>
    <col min="3088" max="3088" width="10.42578125" style="20" customWidth="1"/>
    <col min="3089" max="3328" width="9.140625" style="20"/>
    <col min="3329" max="3329" width="5.140625" style="20" customWidth="1"/>
    <col min="3330" max="3330" width="29.28515625" style="20" customWidth="1"/>
    <col min="3331" max="3331" width="9.42578125" style="20" customWidth="1"/>
    <col min="3332" max="3332" width="9.28515625" style="20" customWidth="1"/>
    <col min="3333" max="3333" width="16.28515625" style="20" customWidth="1"/>
    <col min="3334" max="3334" width="0" style="20" hidden="1" customWidth="1"/>
    <col min="3335" max="3335" width="9.85546875" style="20" customWidth="1"/>
    <col min="3336" max="3337" width="0" style="20" hidden="1" customWidth="1"/>
    <col min="3338" max="3338" width="31.5703125" style="20" customWidth="1"/>
    <col min="3339" max="3339" width="13.28515625" style="20" customWidth="1"/>
    <col min="3340" max="3340" width="10.85546875" style="20" customWidth="1"/>
    <col min="3341" max="3341" width="23.7109375" style="20" customWidth="1"/>
    <col min="3342" max="3342" width="10.140625" style="20" customWidth="1"/>
    <col min="3343" max="3343" width="10.28515625" style="20" customWidth="1"/>
    <col min="3344" max="3344" width="10.42578125" style="20" customWidth="1"/>
    <col min="3345" max="3584" width="9.140625" style="20"/>
    <col min="3585" max="3585" width="5.140625" style="20" customWidth="1"/>
    <col min="3586" max="3586" width="29.28515625" style="20" customWidth="1"/>
    <col min="3587" max="3587" width="9.42578125" style="20" customWidth="1"/>
    <col min="3588" max="3588" width="9.28515625" style="20" customWidth="1"/>
    <col min="3589" max="3589" width="16.28515625" style="20" customWidth="1"/>
    <col min="3590" max="3590" width="0" style="20" hidden="1" customWidth="1"/>
    <col min="3591" max="3591" width="9.85546875" style="20" customWidth="1"/>
    <col min="3592" max="3593" width="0" style="20" hidden="1" customWidth="1"/>
    <col min="3594" max="3594" width="31.5703125" style="20" customWidth="1"/>
    <col min="3595" max="3595" width="13.28515625" style="20" customWidth="1"/>
    <col min="3596" max="3596" width="10.85546875" style="20" customWidth="1"/>
    <col min="3597" max="3597" width="23.7109375" style="20" customWidth="1"/>
    <col min="3598" max="3598" width="10.140625" style="20" customWidth="1"/>
    <col min="3599" max="3599" width="10.28515625" style="20" customWidth="1"/>
    <col min="3600" max="3600" width="10.42578125" style="20" customWidth="1"/>
    <col min="3601" max="3840" width="9.140625" style="20"/>
    <col min="3841" max="3841" width="5.140625" style="20" customWidth="1"/>
    <col min="3842" max="3842" width="29.28515625" style="20" customWidth="1"/>
    <col min="3843" max="3843" width="9.42578125" style="20" customWidth="1"/>
    <col min="3844" max="3844" width="9.28515625" style="20" customWidth="1"/>
    <col min="3845" max="3845" width="16.28515625" style="20" customWidth="1"/>
    <col min="3846" max="3846" width="0" style="20" hidden="1" customWidth="1"/>
    <col min="3847" max="3847" width="9.85546875" style="20" customWidth="1"/>
    <col min="3848" max="3849" width="0" style="20" hidden="1" customWidth="1"/>
    <col min="3850" max="3850" width="31.5703125" style="20" customWidth="1"/>
    <col min="3851" max="3851" width="13.28515625" style="20" customWidth="1"/>
    <col min="3852" max="3852" width="10.85546875" style="20" customWidth="1"/>
    <col min="3853" max="3853" width="23.7109375" style="20" customWidth="1"/>
    <col min="3854" max="3854" width="10.140625" style="20" customWidth="1"/>
    <col min="3855" max="3855" width="10.28515625" style="20" customWidth="1"/>
    <col min="3856" max="3856" width="10.42578125" style="20" customWidth="1"/>
    <col min="3857" max="4096" width="9.140625" style="20"/>
    <col min="4097" max="4097" width="5.140625" style="20" customWidth="1"/>
    <col min="4098" max="4098" width="29.28515625" style="20" customWidth="1"/>
    <col min="4099" max="4099" width="9.42578125" style="20" customWidth="1"/>
    <col min="4100" max="4100" width="9.28515625" style="20" customWidth="1"/>
    <col min="4101" max="4101" width="16.28515625" style="20" customWidth="1"/>
    <col min="4102" max="4102" width="0" style="20" hidden="1" customWidth="1"/>
    <col min="4103" max="4103" width="9.85546875" style="20" customWidth="1"/>
    <col min="4104" max="4105" width="0" style="20" hidden="1" customWidth="1"/>
    <col min="4106" max="4106" width="31.5703125" style="20" customWidth="1"/>
    <col min="4107" max="4107" width="13.28515625" style="20" customWidth="1"/>
    <col min="4108" max="4108" width="10.85546875" style="20" customWidth="1"/>
    <col min="4109" max="4109" width="23.7109375" style="20" customWidth="1"/>
    <col min="4110" max="4110" width="10.140625" style="20" customWidth="1"/>
    <col min="4111" max="4111" width="10.28515625" style="20" customWidth="1"/>
    <col min="4112" max="4112" width="10.42578125" style="20" customWidth="1"/>
    <col min="4113" max="4352" width="9.140625" style="20"/>
    <col min="4353" max="4353" width="5.140625" style="20" customWidth="1"/>
    <col min="4354" max="4354" width="29.28515625" style="20" customWidth="1"/>
    <col min="4355" max="4355" width="9.42578125" style="20" customWidth="1"/>
    <col min="4356" max="4356" width="9.28515625" style="20" customWidth="1"/>
    <col min="4357" max="4357" width="16.28515625" style="20" customWidth="1"/>
    <col min="4358" max="4358" width="0" style="20" hidden="1" customWidth="1"/>
    <col min="4359" max="4359" width="9.85546875" style="20" customWidth="1"/>
    <col min="4360" max="4361" width="0" style="20" hidden="1" customWidth="1"/>
    <col min="4362" max="4362" width="31.5703125" style="20" customWidth="1"/>
    <col min="4363" max="4363" width="13.28515625" style="20" customWidth="1"/>
    <col min="4364" max="4364" width="10.85546875" style="20" customWidth="1"/>
    <col min="4365" max="4365" width="23.7109375" style="20" customWidth="1"/>
    <col min="4366" max="4366" width="10.140625" style="20" customWidth="1"/>
    <col min="4367" max="4367" width="10.28515625" style="20" customWidth="1"/>
    <col min="4368" max="4368" width="10.42578125" style="20" customWidth="1"/>
    <col min="4369" max="4608" width="9.140625" style="20"/>
    <col min="4609" max="4609" width="5.140625" style="20" customWidth="1"/>
    <col min="4610" max="4610" width="29.28515625" style="20" customWidth="1"/>
    <col min="4611" max="4611" width="9.42578125" style="20" customWidth="1"/>
    <col min="4612" max="4612" width="9.28515625" style="20" customWidth="1"/>
    <col min="4613" max="4613" width="16.28515625" style="20" customWidth="1"/>
    <col min="4614" max="4614" width="0" style="20" hidden="1" customWidth="1"/>
    <col min="4615" max="4615" width="9.85546875" style="20" customWidth="1"/>
    <col min="4616" max="4617" width="0" style="20" hidden="1" customWidth="1"/>
    <col min="4618" max="4618" width="31.5703125" style="20" customWidth="1"/>
    <col min="4619" max="4619" width="13.28515625" style="20" customWidth="1"/>
    <col min="4620" max="4620" width="10.85546875" style="20" customWidth="1"/>
    <col min="4621" max="4621" width="23.7109375" style="20" customWidth="1"/>
    <col min="4622" max="4622" width="10.140625" style="20" customWidth="1"/>
    <col min="4623" max="4623" width="10.28515625" style="20" customWidth="1"/>
    <col min="4624" max="4624" width="10.42578125" style="20" customWidth="1"/>
    <col min="4625" max="4864" width="9.140625" style="20"/>
    <col min="4865" max="4865" width="5.140625" style="20" customWidth="1"/>
    <col min="4866" max="4866" width="29.28515625" style="20" customWidth="1"/>
    <col min="4867" max="4867" width="9.42578125" style="20" customWidth="1"/>
    <col min="4868" max="4868" width="9.28515625" style="20" customWidth="1"/>
    <col min="4869" max="4869" width="16.28515625" style="20" customWidth="1"/>
    <col min="4870" max="4870" width="0" style="20" hidden="1" customWidth="1"/>
    <col min="4871" max="4871" width="9.85546875" style="20" customWidth="1"/>
    <col min="4872" max="4873" width="0" style="20" hidden="1" customWidth="1"/>
    <col min="4874" max="4874" width="31.5703125" style="20" customWidth="1"/>
    <col min="4875" max="4875" width="13.28515625" style="20" customWidth="1"/>
    <col min="4876" max="4876" width="10.85546875" style="20" customWidth="1"/>
    <col min="4877" max="4877" width="23.7109375" style="20" customWidth="1"/>
    <col min="4878" max="4878" width="10.140625" style="20" customWidth="1"/>
    <col min="4879" max="4879" width="10.28515625" style="20" customWidth="1"/>
    <col min="4880" max="4880" width="10.42578125" style="20" customWidth="1"/>
    <col min="4881" max="5120" width="9.140625" style="20"/>
    <col min="5121" max="5121" width="5.140625" style="20" customWidth="1"/>
    <col min="5122" max="5122" width="29.28515625" style="20" customWidth="1"/>
    <col min="5123" max="5123" width="9.42578125" style="20" customWidth="1"/>
    <col min="5124" max="5124" width="9.28515625" style="20" customWidth="1"/>
    <col min="5125" max="5125" width="16.28515625" style="20" customWidth="1"/>
    <col min="5126" max="5126" width="0" style="20" hidden="1" customWidth="1"/>
    <col min="5127" max="5127" width="9.85546875" style="20" customWidth="1"/>
    <col min="5128" max="5129" width="0" style="20" hidden="1" customWidth="1"/>
    <col min="5130" max="5130" width="31.5703125" style="20" customWidth="1"/>
    <col min="5131" max="5131" width="13.28515625" style="20" customWidth="1"/>
    <col min="5132" max="5132" width="10.85546875" style="20" customWidth="1"/>
    <col min="5133" max="5133" width="23.7109375" style="20" customWidth="1"/>
    <col min="5134" max="5134" width="10.140625" style="20" customWidth="1"/>
    <col min="5135" max="5135" width="10.28515625" style="20" customWidth="1"/>
    <col min="5136" max="5136" width="10.42578125" style="20" customWidth="1"/>
    <col min="5137" max="5376" width="9.140625" style="20"/>
    <col min="5377" max="5377" width="5.140625" style="20" customWidth="1"/>
    <col min="5378" max="5378" width="29.28515625" style="20" customWidth="1"/>
    <col min="5379" max="5379" width="9.42578125" style="20" customWidth="1"/>
    <col min="5380" max="5380" width="9.28515625" style="20" customWidth="1"/>
    <col min="5381" max="5381" width="16.28515625" style="20" customWidth="1"/>
    <col min="5382" max="5382" width="0" style="20" hidden="1" customWidth="1"/>
    <col min="5383" max="5383" width="9.85546875" style="20" customWidth="1"/>
    <col min="5384" max="5385" width="0" style="20" hidden="1" customWidth="1"/>
    <col min="5386" max="5386" width="31.5703125" style="20" customWidth="1"/>
    <col min="5387" max="5387" width="13.28515625" style="20" customWidth="1"/>
    <col min="5388" max="5388" width="10.85546875" style="20" customWidth="1"/>
    <col min="5389" max="5389" width="23.7109375" style="20" customWidth="1"/>
    <col min="5390" max="5390" width="10.140625" style="20" customWidth="1"/>
    <col min="5391" max="5391" width="10.28515625" style="20" customWidth="1"/>
    <col min="5392" max="5392" width="10.42578125" style="20" customWidth="1"/>
    <col min="5393" max="5632" width="9.140625" style="20"/>
    <col min="5633" max="5633" width="5.140625" style="20" customWidth="1"/>
    <col min="5634" max="5634" width="29.28515625" style="20" customWidth="1"/>
    <col min="5635" max="5635" width="9.42578125" style="20" customWidth="1"/>
    <col min="5636" max="5636" width="9.28515625" style="20" customWidth="1"/>
    <col min="5637" max="5637" width="16.28515625" style="20" customWidth="1"/>
    <col min="5638" max="5638" width="0" style="20" hidden="1" customWidth="1"/>
    <col min="5639" max="5639" width="9.85546875" style="20" customWidth="1"/>
    <col min="5640" max="5641" width="0" style="20" hidden="1" customWidth="1"/>
    <col min="5642" max="5642" width="31.5703125" style="20" customWidth="1"/>
    <col min="5643" max="5643" width="13.28515625" style="20" customWidth="1"/>
    <col min="5644" max="5644" width="10.85546875" style="20" customWidth="1"/>
    <col min="5645" max="5645" width="23.7109375" style="20" customWidth="1"/>
    <col min="5646" max="5646" width="10.140625" style="20" customWidth="1"/>
    <col min="5647" max="5647" width="10.28515625" style="20" customWidth="1"/>
    <col min="5648" max="5648" width="10.42578125" style="20" customWidth="1"/>
    <col min="5649" max="5888" width="9.140625" style="20"/>
    <col min="5889" max="5889" width="5.140625" style="20" customWidth="1"/>
    <col min="5890" max="5890" width="29.28515625" style="20" customWidth="1"/>
    <col min="5891" max="5891" width="9.42578125" style="20" customWidth="1"/>
    <col min="5892" max="5892" width="9.28515625" style="20" customWidth="1"/>
    <col min="5893" max="5893" width="16.28515625" style="20" customWidth="1"/>
    <col min="5894" max="5894" width="0" style="20" hidden="1" customWidth="1"/>
    <col min="5895" max="5895" width="9.85546875" style="20" customWidth="1"/>
    <col min="5896" max="5897" width="0" style="20" hidden="1" customWidth="1"/>
    <col min="5898" max="5898" width="31.5703125" style="20" customWidth="1"/>
    <col min="5899" max="5899" width="13.28515625" style="20" customWidth="1"/>
    <col min="5900" max="5900" width="10.85546875" style="20" customWidth="1"/>
    <col min="5901" max="5901" width="23.7109375" style="20" customWidth="1"/>
    <col min="5902" max="5902" width="10.140625" style="20" customWidth="1"/>
    <col min="5903" max="5903" width="10.28515625" style="20" customWidth="1"/>
    <col min="5904" max="5904" width="10.42578125" style="20" customWidth="1"/>
    <col min="5905" max="6144" width="9.140625" style="20"/>
    <col min="6145" max="6145" width="5.140625" style="20" customWidth="1"/>
    <col min="6146" max="6146" width="29.28515625" style="20" customWidth="1"/>
    <col min="6147" max="6147" width="9.42578125" style="20" customWidth="1"/>
    <col min="6148" max="6148" width="9.28515625" style="20" customWidth="1"/>
    <col min="6149" max="6149" width="16.28515625" style="20" customWidth="1"/>
    <col min="6150" max="6150" width="0" style="20" hidden="1" customWidth="1"/>
    <col min="6151" max="6151" width="9.85546875" style="20" customWidth="1"/>
    <col min="6152" max="6153" width="0" style="20" hidden="1" customWidth="1"/>
    <col min="6154" max="6154" width="31.5703125" style="20" customWidth="1"/>
    <col min="6155" max="6155" width="13.28515625" style="20" customWidth="1"/>
    <col min="6156" max="6156" width="10.85546875" style="20" customWidth="1"/>
    <col min="6157" max="6157" width="23.7109375" style="20" customWidth="1"/>
    <col min="6158" max="6158" width="10.140625" style="20" customWidth="1"/>
    <col min="6159" max="6159" width="10.28515625" style="20" customWidth="1"/>
    <col min="6160" max="6160" width="10.42578125" style="20" customWidth="1"/>
    <col min="6161" max="6400" width="9.140625" style="20"/>
    <col min="6401" max="6401" width="5.140625" style="20" customWidth="1"/>
    <col min="6402" max="6402" width="29.28515625" style="20" customWidth="1"/>
    <col min="6403" max="6403" width="9.42578125" style="20" customWidth="1"/>
    <col min="6404" max="6404" width="9.28515625" style="20" customWidth="1"/>
    <col min="6405" max="6405" width="16.28515625" style="20" customWidth="1"/>
    <col min="6406" max="6406" width="0" style="20" hidden="1" customWidth="1"/>
    <col min="6407" max="6407" width="9.85546875" style="20" customWidth="1"/>
    <col min="6408" max="6409" width="0" style="20" hidden="1" customWidth="1"/>
    <col min="6410" max="6410" width="31.5703125" style="20" customWidth="1"/>
    <col min="6411" max="6411" width="13.28515625" style="20" customWidth="1"/>
    <col min="6412" max="6412" width="10.85546875" style="20" customWidth="1"/>
    <col min="6413" max="6413" width="23.7109375" style="20" customWidth="1"/>
    <col min="6414" max="6414" width="10.140625" style="20" customWidth="1"/>
    <col min="6415" max="6415" width="10.28515625" style="20" customWidth="1"/>
    <col min="6416" max="6416" width="10.42578125" style="20" customWidth="1"/>
    <col min="6417" max="6656" width="9.140625" style="20"/>
    <col min="6657" max="6657" width="5.140625" style="20" customWidth="1"/>
    <col min="6658" max="6658" width="29.28515625" style="20" customWidth="1"/>
    <col min="6659" max="6659" width="9.42578125" style="20" customWidth="1"/>
    <col min="6660" max="6660" width="9.28515625" style="20" customWidth="1"/>
    <col min="6661" max="6661" width="16.28515625" style="20" customWidth="1"/>
    <col min="6662" max="6662" width="0" style="20" hidden="1" customWidth="1"/>
    <col min="6663" max="6663" width="9.85546875" style="20" customWidth="1"/>
    <col min="6664" max="6665" width="0" style="20" hidden="1" customWidth="1"/>
    <col min="6666" max="6666" width="31.5703125" style="20" customWidth="1"/>
    <col min="6667" max="6667" width="13.28515625" style="20" customWidth="1"/>
    <col min="6668" max="6668" width="10.85546875" style="20" customWidth="1"/>
    <col min="6669" max="6669" width="23.7109375" style="20" customWidth="1"/>
    <col min="6670" max="6670" width="10.140625" style="20" customWidth="1"/>
    <col min="6671" max="6671" width="10.28515625" style="20" customWidth="1"/>
    <col min="6672" max="6672" width="10.42578125" style="20" customWidth="1"/>
    <col min="6673" max="6912" width="9.140625" style="20"/>
    <col min="6913" max="6913" width="5.140625" style="20" customWidth="1"/>
    <col min="6914" max="6914" width="29.28515625" style="20" customWidth="1"/>
    <col min="6915" max="6915" width="9.42578125" style="20" customWidth="1"/>
    <col min="6916" max="6916" width="9.28515625" style="20" customWidth="1"/>
    <col min="6917" max="6917" width="16.28515625" style="20" customWidth="1"/>
    <col min="6918" max="6918" width="0" style="20" hidden="1" customWidth="1"/>
    <col min="6919" max="6919" width="9.85546875" style="20" customWidth="1"/>
    <col min="6920" max="6921" width="0" style="20" hidden="1" customWidth="1"/>
    <col min="6922" max="6922" width="31.5703125" style="20" customWidth="1"/>
    <col min="6923" max="6923" width="13.28515625" style="20" customWidth="1"/>
    <col min="6924" max="6924" width="10.85546875" style="20" customWidth="1"/>
    <col min="6925" max="6925" width="23.7109375" style="20" customWidth="1"/>
    <col min="6926" max="6926" width="10.140625" style="20" customWidth="1"/>
    <col min="6927" max="6927" width="10.28515625" style="20" customWidth="1"/>
    <col min="6928" max="6928" width="10.42578125" style="20" customWidth="1"/>
    <col min="6929" max="7168" width="9.140625" style="20"/>
    <col min="7169" max="7169" width="5.140625" style="20" customWidth="1"/>
    <col min="7170" max="7170" width="29.28515625" style="20" customWidth="1"/>
    <col min="7171" max="7171" width="9.42578125" style="20" customWidth="1"/>
    <col min="7172" max="7172" width="9.28515625" style="20" customWidth="1"/>
    <col min="7173" max="7173" width="16.28515625" style="20" customWidth="1"/>
    <col min="7174" max="7174" width="0" style="20" hidden="1" customWidth="1"/>
    <col min="7175" max="7175" width="9.85546875" style="20" customWidth="1"/>
    <col min="7176" max="7177" width="0" style="20" hidden="1" customWidth="1"/>
    <col min="7178" max="7178" width="31.5703125" style="20" customWidth="1"/>
    <col min="7179" max="7179" width="13.28515625" style="20" customWidth="1"/>
    <col min="7180" max="7180" width="10.85546875" style="20" customWidth="1"/>
    <col min="7181" max="7181" width="23.7109375" style="20" customWidth="1"/>
    <col min="7182" max="7182" width="10.140625" style="20" customWidth="1"/>
    <col min="7183" max="7183" width="10.28515625" style="20" customWidth="1"/>
    <col min="7184" max="7184" width="10.42578125" style="20" customWidth="1"/>
    <col min="7185" max="7424" width="9.140625" style="20"/>
    <col min="7425" max="7425" width="5.140625" style="20" customWidth="1"/>
    <col min="7426" max="7426" width="29.28515625" style="20" customWidth="1"/>
    <col min="7427" max="7427" width="9.42578125" style="20" customWidth="1"/>
    <col min="7428" max="7428" width="9.28515625" style="20" customWidth="1"/>
    <col min="7429" max="7429" width="16.28515625" style="20" customWidth="1"/>
    <col min="7430" max="7430" width="0" style="20" hidden="1" customWidth="1"/>
    <col min="7431" max="7431" width="9.85546875" style="20" customWidth="1"/>
    <col min="7432" max="7433" width="0" style="20" hidden="1" customWidth="1"/>
    <col min="7434" max="7434" width="31.5703125" style="20" customWidth="1"/>
    <col min="7435" max="7435" width="13.28515625" style="20" customWidth="1"/>
    <col min="7436" max="7436" width="10.85546875" style="20" customWidth="1"/>
    <col min="7437" max="7437" width="23.7109375" style="20" customWidth="1"/>
    <col min="7438" max="7438" width="10.140625" style="20" customWidth="1"/>
    <col min="7439" max="7439" width="10.28515625" style="20" customWidth="1"/>
    <col min="7440" max="7440" width="10.42578125" style="20" customWidth="1"/>
    <col min="7441" max="7680" width="9.140625" style="20"/>
    <col min="7681" max="7681" width="5.140625" style="20" customWidth="1"/>
    <col min="7682" max="7682" width="29.28515625" style="20" customWidth="1"/>
    <col min="7683" max="7683" width="9.42578125" style="20" customWidth="1"/>
    <col min="7684" max="7684" width="9.28515625" style="20" customWidth="1"/>
    <col min="7685" max="7685" width="16.28515625" style="20" customWidth="1"/>
    <col min="7686" max="7686" width="0" style="20" hidden="1" customWidth="1"/>
    <col min="7687" max="7687" width="9.85546875" style="20" customWidth="1"/>
    <col min="7688" max="7689" width="0" style="20" hidden="1" customWidth="1"/>
    <col min="7690" max="7690" width="31.5703125" style="20" customWidth="1"/>
    <col min="7691" max="7691" width="13.28515625" style="20" customWidth="1"/>
    <col min="7692" max="7692" width="10.85546875" style="20" customWidth="1"/>
    <col min="7693" max="7693" width="23.7109375" style="20" customWidth="1"/>
    <col min="7694" max="7694" width="10.140625" style="20" customWidth="1"/>
    <col min="7695" max="7695" width="10.28515625" style="20" customWidth="1"/>
    <col min="7696" max="7696" width="10.42578125" style="20" customWidth="1"/>
    <col min="7697" max="7936" width="9.140625" style="20"/>
    <col min="7937" max="7937" width="5.140625" style="20" customWidth="1"/>
    <col min="7938" max="7938" width="29.28515625" style="20" customWidth="1"/>
    <col min="7939" max="7939" width="9.42578125" style="20" customWidth="1"/>
    <col min="7940" max="7940" width="9.28515625" style="20" customWidth="1"/>
    <col min="7941" max="7941" width="16.28515625" style="20" customWidth="1"/>
    <col min="7942" max="7942" width="0" style="20" hidden="1" customWidth="1"/>
    <col min="7943" max="7943" width="9.85546875" style="20" customWidth="1"/>
    <col min="7944" max="7945" width="0" style="20" hidden="1" customWidth="1"/>
    <col min="7946" max="7946" width="31.5703125" style="20" customWidth="1"/>
    <col min="7947" max="7947" width="13.28515625" style="20" customWidth="1"/>
    <col min="7948" max="7948" width="10.85546875" style="20" customWidth="1"/>
    <col min="7949" max="7949" width="23.7109375" style="20" customWidth="1"/>
    <col min="7950" max="7950" width="10.140625" style="20" customWidth="1"/>
    <col min="7951" max="7951" width="10.28515625" style="20" customWidth="1"/>
    <col min="7952" max="7952" width="10.42578125" style="20" customWidth="1"/>
    <col min="7953" max="8192" width="9.140625" style="20"/>
    <col min="8193" max="8193" width="5.140625" style="20" customWidth="1"/>
    <col min="8194" max="8194" width="29.28515625" style="20" customWidth="1"/>
    <col min="8195" max="8195" width="9.42578125" style="20" customWidth="1"/>
    <col min="8196" max="8196" width="9.28515625" style="20" customWidth="1"/>
    <col min="8197" max="8197" width="16.28515625" style="20" customWidth="1"/>
    <col min="8198" max="8198" width="0" style="20" hidden="1" customWidth="1"/>
    <col min="8199" max="8199" width="9.85546875" style="20" customWidth="1"/>
    <col min="8200" max="8201" width="0" style="20" hidden="1" customWidth="1"/>
    <col min="8202" max="8202" width="31.5703125" style="20" customWidth="1"/>
    <col min="8203" max="8203" width="13.28515625" style="20" customWidth="1"/>
    <col min="8204" max="8204" width="10.85546875" style="20" customWidth="1"/>
    <col min="8205" max="8205" width="23.7109375" style="20" customWidth="1"/>
    <col min="8206" max="8206" width="10.140625" style="20" customWidth="1"/>
    <col min="8207" max="8207" width="10.28515625" style="20" customWidth="1"/>
    <col min="8208" max="8208" width="10.42578125" style="20" customWidth="1"/>
    <col min="8209" max="8448" width="9.140625" style="20"/>
    <col min="8449" max="8449" width="5.140625" style="20" customWidth="1"/>
    <col min="8450" max="8450" width="29.28515625" style="20" customWidth="1"/>
    <col min="8451" max="8451" width="9.42578125" style="20" customWidth="1"/>
    <col min="8452" max="8452" width="9.28515625" style="20" customWidth="1"/>
    <col min="8453" max="8453" width="16.28515625" style="20" customWidth="1"/>
    <col min="8454" max="8454" width="0" style="20" hidden="1" customWidth="1"/>
    <col min="8455" max="8455" width="9.85546875" style="20" customWidth="1"/>
    <col min="8456" max="8457" width="0" style="20" hidden="1" customWidth="1"/>
    <col min="8458" max="8458" width="31.5703125" style="20" customWidth="1"/>
    <col min="8459" max="8459" width="13.28515625" style="20" customWidth="1"/>
    <col min="8460" max="8460" width="10.85546875" style="20" customWidth="1"/>
    <col min="8461" max="8461" width="23.7109375" style="20" customWidth="1"/>
    <col min="8462" max="8462" width="10.140625" style="20" customWidth="1"/>
    <col min="8463" max="8463" width="10.28515625" style="20" customWidth="1"/>
    <col min="8464" max="8464" width="10.42578125" style="20" customWidth="1"/>
    <col min="8465" max="8704" width="9.140625" style="20"/>
    <col min="8705" max="8705" width="5.140625" style="20" customWidth="1"/>
    <col min="8706" max="8706" width="29.28515625" style="20" customWidth="1"/>
    <col min="8707" max="8707" width="9.42578125" style="20" customWidth="1"/>
    <col min="8708" max="8708" width="9.28515625" style="20" customWidth="1"/>
    <col min="8709" max="8709" width="16.28515625" style="20" customWidth="1"/>
    <col min="8710" max="8710" width="0" style="20" hidden="1" customWidth="1"/>
    <col min="8711" max="8711" width="9.85546875" style="20" customWidth="1"/>
    <col min="8712" max="8713" width="0" style="20" hidden="1" customWidth="1"/>
    <col min="8714" max="8714" width="31.5703125" style="20" customWidth="1"/>
    <col min="8715" max="8715" width="13.28515625" style="20" customWidth="1"/>
    <col min="8716" max="8716" width="10.85546875" style="20" customWidth="1"/>
    <col min="8717" max="8717" width="23.7109375" style="20" customWidth="1"/>
    <col min="8718" max="8718" width="10.140625" style="20" customWidth="1"/>
    <col min="8719" max="8719" width="10.28515625" style="20" customWidth="1"/>
    <col min="8720" max="8720" width="10.42578125" style="20" customWidth="1"/>
    <col min="8721" max="8960" width="9.140625" style="20"/>
    <col min="8961" max="8961" width="5.140625" style="20" customWidth="1"/>
    <col min="8962" max="8962" width="29.28515625" style="20" customWidth="1"/>
    <col min="8963" max="8963" width="9.42578125" style="20" customWidth="1"/>
    <col min="8964" max="8964" width="9.28515625" style="20" customWidth="1"/>
    <col min="8965" max="8965" width="16.28515625" style="20" customWidth="1"/>
    <col min="8966" max="8966" width="0" style="20" hidden="1" customWidth="1"/>
    <col min="8967" max="8967" width="9.85546875" style="20" customWidth="1"/>
    <col min="8968" max="8969" width="0" style="20" hidden="1" customWidth="1"/>
    <col min="8970" max="8970" width="31.5703125" style="20" customWidth="1"/>
    <col min="8971" max="8971" width="13.28515625" style="20" customWidth="1"/>
    <col min="8972" max="8972" width="10.85546875" style="20" customWidth="1"/>
    <col min="8973" max="8973" width="23.7109375" style="20" customWidth="1"/>
    <col min="8974" max="8974" width="10.140625" style="20" customWidth="1"/>
    <col min="8975" max="8975" width="10.28515625" style="20" customWidth="1"/>
    <col min="8976" max="8976" width="10.42578125" style="20" customWidth="1"/>
    <col min="8977" max="9216" width="9.140625" style="20"/>
    <col min="9217" max="9217" width="5.140625" style="20" customWidth="1"/>
    <col min="9218" max="9218" width="29.28515625" style="20" customWidth="1"/>
    <col min="9219" max="9219" width="9.42578125" style="20" customWidth="1"/>
    <col min="9220" max="9220" width="9.28515625" style="20" customWidth="1"/>
    <col min="9221" max="9221" width="16.28515625" style="20" customWidth="1"/>
    <col min="9222" max="9222" width="0" style="20" hidden="1" customWidth="1"/>
    <col min="9223" max="9223" width="9.85546875" style="20" customWidth="1"/>
    <col min="9224" max="9225" width="0" style="20" hidden="1" customWidth="1"/>
    <col min="9226" max="9226" width="31.5703125" style="20" customWidth="1"/>
    <col min="9227" max="9227" width="13.28515625" style="20" customWidth="1"/>
    <col min="9228" max="9228" width="10.85546875" style="20" customWidth="1"/>
    <col min="9229" max="9229" width="23.7109375" style="20" customWidth="1"/>
    <col min="9230" max="9230" width="10.140625" style="20" customWidth="1"/>
    <col min="9231" max="9231" width="10.28515625" style="20" customWidth="1"/>
    <col min="9232" max="9232" width="10.42578125" style="20" customWidth="1"/>
    <col min="9233" max="9472" width="9.140625" style="20"/>
    <col min="9473" max="9473" width="5.140625" style="20" customWidth="1"/>
    <col min="9474" max="9474" width="29.28515625" style="20" customWidth="1"/>
    <col min="9475" max="9475" width="9.42578125" style="20" customWidth="1"/>
    <col min="9476" max="9476" width="9.28515625" style="20" customWidth="1"/>
    <col min="9477" max="9477" width="16.28515625" style="20" customWidth="1"/>
    <col min="9478" max="9478" width="0" style="20" hidden="1" customWidth="1"/>
    <col min="9479" max="9479" width="9.85546875" style="20" customWidth="1"/>
    <col min="9480" max="9481" width="0" style="20" hidden="1" customWidth="1"/>
    <col min="9482" max="9482" width="31.5703125" style="20" customWidth="1"/>
    <col min="9483" max="9483" width="13.28515625" style="20" customWidth="1"/>
    <col min="9484" max="9484" width="10.85546875" style="20" customWidth="1"/>
    <col min="9485" max="9485" width="23.7109375" style="20" customWidth="1"/>
    <col min="9486" max="9486" width="10.140625" style="20" customWidth="1"/>
    <col min="9487" max="9487" width="10.28515625" style="20" customWidth="1"/>
    <col min="9488" max="9488" width="10.42578125" style="20" customWidth="1"/>
    <col min="9489" max="9728" width="9.140625" style="20"/>
    <col min="9729" max="9729" width="5.140625" style="20" customWidth="1"/>
    <col min="9730" max="9730" width="29.28515625" style="20" customWidth="1"/>
    <col min="9731" max="9731" width="9.42578125" style="20" customWidth="1"/>
    <col min="9732" max="9732" width="9.28515625" style="20" customWidth="1"/>
    <col min="9733" max="9733" width="16.28515625" style="20" customWidth="1"/>
    <col min="9734" max="9734" width="0" style="20" hidden="1" customWidth="1"/>
    <col min="9735" max="9735" width="9.85546875" style="20" customWidth="1"/>
    <col min="9736" max="9737" width="0" style="20" hidden="1" customWidth="1"/>
    <col min="9738" max="9738" width="31.5703125" style="20" customWidth="1"/>
    <col min="9739" max="9739" width="13.28515625" style="20" customWidth="1"/>
    <col min="9740" max="9740" width="10.85546875" style="20" customWidth="1"/>
    <col min="9741" max="9741" width="23.7109375" style="20" customWidth="1"/>
    <col min="9742" max="9742" width="10.140625" style="20" customWidth="1"/>
    <col min="9743" max="9743" width="10.28515625" style="20" customWidth="1"/>
    <col min="9744" max="9744" width="10.42578125" style="20" customWidth="1"/>
    <col min="9745" max="9984" width="9.140625" style="20"/>
    <col min="9985" max="9985" width="5.140625" style="20" customWidth="1"/>
    <col min="9986" max="9986" width="29.28515625" style="20" customWidth="1"/>
    <col min="9987" max="9987" width="9.42578125" style="20" customWidth="1"/>
    <col min="9988" max="9988" width="9.28515625" style="20" customWidth="1"/>
    <col min="9989" max="9989" width="16.28515625" style="20" customWidth="1"/>
    <col min="9990" max="9990" width="0" style="20" hidden="1" customWidth="1"/>
    <col min="9991" max="9991" width="9.85546875" style="20" customWidth="1"/>
    <col min="9992" max="9993" width="0" style="20" hidden="1" customWidth="1"/>
    <col min="9994" max="9994" width="31.5703125" style="20" customWidth="1"/>
    <col min="9995" max="9995" width="13.28515625" style="20" customWidth="1"/>
    <col min="9996" max="9996" width="10.85546875" style="20" customWidth="1"/>
    <col min="9997" max="9997" width="23.7109375" style="20" customWidth="1"/>
    <col min="9998" max="9998" width="10.140625" style="20" customWidth="1"/>
    <col min="9999" max="9999" width="10.28515625" style="20" customWidth="1"/>
    <col min="10000" max="10000" width="10.42578125" style="20" customWidth="1"/>
    <col min="10001" max="10240" width="9.140625" style="20"/>
    <col min="10241" max="10241" width="5.140625" style="20" customWidth="1"/>
    <col min="10242" max="10242" width="29.28515625" style="20" customWidth="1"/>
    <col min="10243" max="10243" width="9.42578125" style="20" customWidth="1"/>
    <col min="10244" max="10244" width="9.28515625" style="20" customWidth="1"/>
    <col min="10245" max="10245" width="16.28515625" style="20" customWidth="1"/>
    <col min="10246" max="10246" width="0" style="20" hidden="1" customWidth="1"/>
    <col min="10247" max="10247" width="9.85546875" style="20" customWidth="1"/>
    <col min="10248" max="10249" width="0" style="20" hidden="1" customWidth="1"/>
    <col min="10250" max="10250" width="31.5703125" style="20" customWidth="1"/>
    <col min="10251" max="10251" width="13.28515625" style="20" customWidth="1"/>
    <col min="10252" max="10252" width="10.85546875" style="20" customWidth="1"/>
    <col min="10253" max="10253" width="23.7109375" style="20" customWidth="1"/>
    <col min="10254" max="10254" width="10.140625" style="20" customWidth="1"/>
    <col min="10255" max="10255" width="10.28515625" style="20" customWidth="1"/>
    <col min="10256" max="10256" width="10.42578125" style="20" customWidth="1"/>
    <col min="10257" max="10496" width="9.140625" style="20"/>
    <col min="10497" max="10497" width="5.140625" style="20" customWidth="1"/>
    <col min="10498" max="10498" width="29.28515625" style="20" customWidth="1"/>
    <col min="10499" max="10499" width="9.42578125" style="20" customWidth="1"/>
    <col min="10500" max="10500" width="9.28515625" style="20" customWidth="1"/>
    <col min="10501" max="10501" width="16.28515625" style="20" customWidth="1"/>
    <col min="10502" max="10502" width="0" style="20" hidden="1" customWidth="1"/>
    <col min="10503" max="10503" width="9.85546875" style="20" customWidth="1"/>
    <col min="10504" max="10505" width="0" style="20" hidden="1" customWidth="1"/>
    <col min="10506" max="10506" width="31.5703125" style="20" customWidth="1"/>
    <col min="10507" max="10507" width="13.28515625" style="20" customWidth="1"/>
    <col min="10508" max="10508" width="10.85546875" style="20" customWidth="1"/>
    <col min="10509" max="10509" width="23.7109375" style="20" customWidth="1"/>
    <col min="10510" max="10510" width="10.140625" style="20" customWidth="1"/>
    <col min="10511" max="10511" width="10.28515625" style="20" customWidth="1"/>
    <col min="10512" max="10512" width="10.42578125" style="20" customWidth="1"/>
    <col min="10513" max="10752" width="9.140625" style="20"/>
    <col min="10753" max="10753" width="5.140625" style="20" customWidth="1"/>
    <col min="10754" max="10754" width="29.28515625" style="20" customWidth="1"/>
    <col min="10755" max="10755" width="9.42578125" style="20" customWidth="1"/>
    <col min="10756" max="10756" width="9.28515625" style="20" customWidth="1"/>
    <col min="10757" max="10757" width="16.28515625" style="20" customWidth="1"/>
    <col min="10758" max="10758" width="0" style="20" hidden="1" customWidth="1"/>
    <col min="10759" max="10759" width="9.85546875" style="20" customWidth="1"/>
    <col min="10760" max="10761" width="0" style="20" hidden="1" customWidth="1"/>
    <col min="10762" max="10762" width="31.5703125" style="20" customWidth="1"/>
    <col min="10763" max="10763" width="13.28515625" style="20" customWidth="1"/>
    <col min="10764" max="10764" width="10.85546875" style="20" customWidth="1"/>
    <col min="10765" max="10765" width="23.7109375" style="20" customWidth="1"/>
    <col min="10766" max="10766" width="10.140625" style="20" customWidth="1"/>
    <col min="10767" max="10767" width="10.28515625" style="20" customWidth="1"/>
    <col min="10768" max="10768" width="10.42578125" style="20" customWidth="1"/>
    <col min="10769" max="11008" width="9.140625" style="20"/>
    <col min="11009" max="11009" width="5.140625" style="20" customWidth="1"/>
    <col min="11010" max="11010" width="29.28515625" style="20" customWidth="1"/>
    <col min="11011" max="11011" width="9.42578125" style="20" customWidth="1"/>
    <col min="11012" max="11012" width="9.28515625" style="20" customWidth="1"/>
    <col min="11013" max="11013" width="16.28515625" style="20" customWidth="1"/>
    <col min="11014" max="11014" width="0" style="20" hidden="1" customWidth="1"/>
    <col min="11015" max="11015" width="9.85546875" style="20" customWidth="1"/>
    <col min="11016" max="11017" width="0" style="20" hidden="1" customWidth="1"/>
    <col min="11018" max="11018" width="31.5703125" style="20" customWidth="1"/>
    <col min="11019" max="11019" width="13.28515625" style="20" customWidth="1"/>
    <col min="11020" max="11020" width="10.85546875" style="20" customWidth="1"/>
    <col min="11021" max="11021" width="23.7109375" style="20" customWidth="1"/>
    <col min="11022" max="11022" width="10.140625" style="20" customWidth="1"/>
    <col min="11023" max="11023" width="10.28515625" style="20" customWidth="1"/>
    <col min="11024" max="11024" width="10.42578125" style="20" customWidth="1"/>
    <col min="11025" max="11264" width="9.140625" style="20"/>
    <col min="11265" max="11265" width="5.140625" style="20" customWidth="1"/>
    <col min="11266" max="11266" width="29.28515625" style="20" customWidth="1"/>
    <col min="11267" max="11267" width="9.42578125" style="20" customWidth="1"/>
    <col min="11268" max="11268" width="9.28515625" style="20" customWidth="1"/>
    <col min="11269" max="11269" width="16.28515625" style="20" customWidth="1"/>
    <col min="11270" max="11270" width="0" style="20" hidden="1" customWidth="1"/>
    <col min="11271" max="11271" width="9.85546875" style="20" customWidth="1"/>
    <col min="11272" max="11273" width="0" style="20" hidden="1" customWidth="1"/>
    <col min="11274" max="11274" width="31.5703125" style="20" customWidth="1"/>
    <col min="11275" max="11275" width="13.28515625" style="20" customWidth="1"/>
    <col min="11276" max="11276" width="10.85546875" style="20" customWidth="1"/>
    <col min="11277" max="11277" width="23.7109375" style="20" customWidth="1"/>
    <col min="11278" max="11278" width="10.140625" style="20" customWidth="1"/>
    <col min="11279" max="11279" width="10.28515625" style="20" customWidth="1"/>
    <col min="11280" max="11280" width="10.42578125" style="20" customWidth="1"/>
    <col min="11281" max="11520" width="9.140625" style="20"/>
    <col min="11521" max="11521" width="5.140625" style="20" customWidth="1"/>
    <col min="11522" max="11522" width="29.28515625" style="20" customWidth="1"/>
    <col min="11523" max="11523" width="9.42578125" style="20" customWidth="1"/>
    <col min="11524" max="11524" width="9.28515625" style="20" customWidth="1"/>
    <col min="11525" max="11525" width="16.28515625" style="20" customWidth="1"/>
    <col min="11526" max="11526" width="0" style="20" hidden="1" customWidth="1"/>
    <col min="11527" max="11527" width="9.85546875" style="20" customWidth="1"/>
    <col min="11528" max="11529" width="0" style="20" hidden="1" customWidth="1"/>
    <col min="11530" max="11530" width="31.5703125" style="20" customWidth="1"/>
    <col min="11531" max="11531" width="13.28515625" style="20" customWidth="1"/>
    <col min="11532" max="11532" width="10.85546875" style="20" customWidth="1"/>
    <col min="11533" max="11533" width="23.7109375" style="20" customWidth="1"/>
    <col min="11534" max="11534" width="10.140625" style="20" customWidth="1"/>
    <col min="11535" max="11535" width="10.28515625" style="20" customWidth="1"/>
    <col min="11536" max="11536" width="10.42578125" style="20" customWidth="1"/>
    <col min="11537" max="11776" width="9.140625" style="20"/>
    <col min="11777" max="11777" width="5.140625" style="20" customWidth="1"/>
    <col min="11778" max="11778" width="29.28515625" style="20" customWidth="1"/>
    <col min="11779" max="11779" width="9.42578125" style="20" customWidth="1"/>
    <col min="11780" max="11780" width="9.28515625" style="20" customWidth="1"/>
    <col min="11781" max="11781" width="16.28515625" style="20" customWidth="1"/>
    <col min="11782" max="11782" width="0" style="20" hidden="1" customWidth="1"/>
    <col min="11783" max="11783" width="9.85546875" style="20" customWidth="1"/>
    <col min="11784" max="11785" width="0" style="20" hidden="1" customWidth="1"/>
    <col min="11786" max="11786" width="31.5703125" style="20" customWidth="1"/>
    <col min="11787" max="11787" width="13.28515625" style="20" customWidth="1"/>
    <col min="11788" max="11788" width="10.85546875" style="20" customWidth="1"/>
    <col min="11789" max="11789" width="23.7109375" style="20" customWidth="1"/>
    <col min="11790" max="11790" width="10.140625" style="20" customWidth="1"/>
    <col min="11791" max="11791" width="10.28515625" style="20" customWidth="1"/>
    <col min="11792" max="11792" width="10.42578125" style="20" customWidth="1"/>
    <col min="11793" max="12032" width="9.140625" style="20"/>
    <col min="12033" max="12033" width="5.140625" style="20" customWidth="1"/>
    <col min="12034" max="12034" width="29.28515625" style="20" customWidth="1"/>
    <col min="12035" max="12035" width="9.42578125" style="20" customWidth="1"/>
    <col min="12036" max="12036" width="9.28515625" style="20" customWidth="1"/>
    <col min="12037" max="12037" width="16.28515625" style="20" customWidth="1"/>
    <col min="12038" max="12038" width="0" style="20" hidden="1" customWidth="1"/>
    <col min="12039" max="12039" width="9.85546875" style="20" customWidth="1"/>
    <col min="12040" max="12041" width="0" style="20" hidden="1" customWidth="1"/>
    <col min="12042" max="12042" width="31.5703125" style="20" customWidth="1"/>
    <col min="12043" max="12043" width="13.28515625" style="20" customWidth="1"/>
    <col min="12044" max="12044" width="10.85546875" style="20" customWidth="1"/>
    <col min="12045" max="12045" width="23.7109375" style="20" customWidth="1"/>
    <col min="12046" max="12046" width="10.140625" style="20" customWidth="1"/>
    <col min="12047" max="12047" width="10.28515625" style="20" customWidth="1"/>
    <col min="12048" max="12048" width="10.42578125" style="20" customWidth="1"/>
    <col min="12049" max="12288" width="9.140625" style="20"/>
    <col min="12289" max="12289" width="5.140625" style="20" customWidth="1"/>
    <col min="12290" max="12290" width="29.28515625" style="20" customWidth="1"/>
    <col min="12291" max="12291" width="9.42578125" style="20" customWidth="1"/>
    <col min="12292" max="12292" width="9.28515625" style="20" customWidth="1"/>
    <col min="12293" max="12293" width="16.28515625" style="20" customWidth="1"/>
    <col min="12294" max="12294" width="0" style="20" hidden="1" customWidth="1"/>
    <col min="12295" max="12295" width="9.85546875" style="20" customWidth="1"/>
    <col min="12296" max="12297" width="0" style="20" hidden="1" customWidth="1"/>
    <col min="12298" max="12298" width="31.5703125" style="20" customWidth="1"/>
    <col min="12299" max="12299" width="13.28515625" style="20" customWidth="1"/>
    <col min="12300" max="12300" width="10.85546875" style="20" customWidth="1"/>
    <col min="12301" max="12301" width="23.7109375" style="20" customWidth="1"/>
    <col min="12302" max="12302" width="10.140625" style="20" customWidth="1"/>
    <col min="12303" max="12303" width="10.28515625" style="20" customWidth="1"/>
    <col min="12304" max="12304" width="10.42578125" style="20" customWidth="1"/>
    <col min="12305" max="12544" width="9.140625" style="20"/>
    <col min="12545" max="12545" width="5.140625" style="20" customWidth="1"/>
    <col min="12546" max="12546" width="29.28515625" style="20" customWidth="1"/>
    <col min="12547" max="12547" width="9.42578125" style="20" customWidth="1"/>
    <col min="12548" max="12548" width="9.28515625" style="20" customWidth="1"/>
    <col min="12549" max="12549" width="16.28515625" style="20" customWidth="1"/>
    <col min="12550" max="12550" width="0" style="20" hidden="1" customWidth="1"/>
    <col min="12551" max="12551" width="9.85546875" style="20" customWidth="1"/>
    <col min="12552" max="12553" width="0" style="20" hidden="1" customWidth="1"/>
    <col min="12554" max="12554" width="31.5703125" style="20" customWidth="1"/>
    <col min="12555" max="12555" width="13.28515625" style="20" customWidth="1"/>
    <col min="12556" max="12556" width="10.85546875" style="20" customWidth="1"/>
    <col min="12557" max="12557" width="23.7109375" style="20" customWidth="1"/>
    <col min="12558" max="12558" width="10.140625" style="20" customWidth="1"/>
    <col min="12559" max="12559" width="10.28515625" style="20" customWidth="1"/>
    <col min="12560" max="12560" width="10.42578125" style="20" customWidth="1"/>
    <col min="12561" max="12800" width="9.140625" style="20"/>
    <col min="12801" max="12801" width="5.140625" style="20" customWidth="1"/>
    <col min="12802" max="12802" width="29.28515625" style="20" customWidth="1"/>
    <col min="12803" max="12803" width="9.42578125" style="20" customWidth="1"/>
    <col min="12804" max="12804" width="9.28515625" style="20" customWidth="1"/>
    <col min="12805" max="12805" width="16.28515625" style="20" customWidth="1"/>
    <col min="12806" max="12806" width="0" style="20" hidden="1" customWidth="1"/>
    <col min="12807" max="12807" width="9.85546875" style="20" customWidth="1"/>
    <col min="12808" max="12809" width="0" style="20" hidden="1" customWidth="1"/>
    <col min="12810" max="12810" width="31.5703125" style="20" customWidth="1"/>
    <col min="12811" max="12811" width="13.28515625" style="20" customWidth="1"/>
    <col min="12812" max="12812" width="10.85546875" style="20" customWidth="1"/>
    <col min="12813" max="12813" width="23.7109375" style="20" customWidth="1"/>
    <col min="12814" max="12814" width="10.140625" style="20" customWidth="1"/>
    <col min="12815" max="12815" width="10.28515625" style="20" customWidth="1"/>
    <col min="12816" max="12816" width="10.42578125" style="20" customWidth="1"/>
    <col min="12817" max="13056" width="9.140625" style="20"/>
    <col min="13057" max="13057" width="5.140625" style="20" customWidth="1"/>
    <col min="13058" max="13058" width="29.28515625" style="20" customWidth="1"/>
    <col min="13059" max="13059" width="9.42578125" style="20" customWidth="1"/>
    <col min="13060" max="13060" width="9.28515625" style="20" customWidth="1"/>
    <col min="13061" max="13061" width="16.28515625" style="20" customWidth="1"/>
    <col min="13062" max="13062" width="0" style="20" hidden="1" customWidth="1"/>
    <col min="13063" max="13063" width="9.85546875" style="20" customWidth="1"/>
    <col min="13064" max="13065" width="0" style="20" hidden="1" customWidth="1"/>
    <col min="13066" max="13066" width="31.5703125" style="20" customWidth="1"/>
    <col min="13067" max="13067" width="13.28515625" style="20" customWidth="1"/>
    <col min="13068" max="13068" width="10.85546875" style="20" customWidth="1"/>
    <col min="13069" max="13069" width="23.7109375" style="20" customWidth="1"/>
    <col min="13070" max="13070" width="10.140625" style="20" customWidth="1"/>
    <col min="13071" max="13071" width="10.28515625" style="20" customWidth="1"/>
    <col min="13072" max="13072" width="10.42578125" style="20" customWidth="1"/>
    <col min="13073" max="13312" width="9.140625" style="20"/>
    <col min="13313" max="13313" width="5.140625" style="20" customWidth="1"/>
    <col min="13314" max="13314" width="29.28515625" style="20" customWidth="1"/>
    <col min="13315" max="13315" width="9.42578125" style="20" customWidth="1"/>
    <col min="13316" max="13316" width="9.28515625" style="20" customWidth="1"/>
    <col min="13317" max="13317" width="16.28515625" style="20" customWidth="1"/>
    <col min="13318" max="13318" width="0" style="20" hidden="1" customWidth="1"/>
    <col min="13319" max="13319" width="9.85546875" style="20" customWidth="1"/>
    <col min="13320" max="13321" width="0" style="20" hidden="1" customWidth="1"/>
    <col min="13322" max="13322" width="31.5703125" style="20" customWidth="1"/>
    <col min="13323" max="13323" width="13.28515625" style="20" customWidth="1"/>
    <col min="13324" max="13324" width="10.85546875" style="20" customWidth="1"/>
    <col min="13325" max="13325" width="23.7109375" style="20" customWidth="1"/>
    <col min="13326" max="13326" width="10.140625" style="20" customWidth="1"/>
    <col min="13327" max="13327" width="10.28515625" style="20" customWidth="1"/>
    <col min="13328" max="13328" width="10.42578125" style="20" customWidth="1"/>
    <col min="13329" max="13568" width="9.140625" style="20"/>
    <col min="13569" max="13569" width="5.140625" style="20" customWidth="1"/>
    <col min="13570" max="13570" width="29.28515625" style="20" customWidth="1"/>
    <col min="13571" max="13571" width="9.42578125" style="20" customWidth="1"/>
    <col min="13572" max="13572" width="9.28515625" style="20" customWidth="1"/>
    <col min="13573" max="13573" width="16.28515625" style="20" customWidth="1"/>
    <col min="13574" max="13574" width="0" style="20" hidden="1" customWidth="1"/>
    <col min="13575" max="13575" width="9.85546875" style="20" customWidth="1"/>
    <col min="13576" max="13577" width="0" style="20" hidden="1" customWidth="1"/>
    <col min="13578" max="13578" width="31.5703125" style="20" customWidth="1"/>
    <col min="13579" max="13579" width="13.28515625" style="20" customWidth="1"/>
    <col min="13580" max="13580" width="10.85546875" style="20" customWidth="1"/>
    <col min="13581" max="13581" width="23.7109375" style="20" customWidth="1"/>
    <col min="13582" max="13582" width="10.140625" style="20" customWidth="1"/>
    <col min="13583" max="13583" width="10.28515625" style="20" customWidth="1"/>
    <col min="13584" max="13584" width="10.42578125" style="20" customWidth="1"/>
    <col min="13585" max="13824" width="9.140625" style="20"/>
    <col min="13825" max="13825" width="5.140625" style="20" customWidth="1"/>
    <col min="13826" max="13826" width="29.28515625" style="20" customWidth="1"/>
    <col min="13827" max="13827" width="9.42578125" style="20" customWidth="1"/>
    <col min="13828" max="13828" width="9.28515625" style="20" customWidth="1"/>
    <col min="13829" max="13829" width="16.28515625" style="20" customWidth="1"/>
    <col min="13830" max="13830" width="0" style="20" hidden="1" customWidth="1"/>
    <col min="13831" max="13831" width="9.85546875" style="20" customWidth="1"/>
    <col min="13832" max="13833" width="0" style="20" hidden="1" customWidth="1"/>
    <col min="13834" max="13834" width="31.5703125" style="20" customWidth="1"/>
    <col min="13835" max="13835" width="13.28515625" style="20" customWidth="1"/>
    <col min="13836" max="13836" width="10.85546875" style="20" customWidth="1"/>
    <col min="13837" max="13837" width="23.7109375" style="20" customWidth="1"/>
    <col min="13838" max="13838" width="10.140625" style="20" customWidth="1"/>
    <col min="13839" max="13839" width="10.28515625" style="20" customWidth="1"/>
    <col min="13840" max="13840" width="10.42578125" style="20" customWidth="1"/>
    <col min="13841" max="14080" width="9.140625" style="20"/>
    <col min="14081" max="14081" width="5.140625" style="20" customWidth="1"/>
    <col min="14082" max="14082" width="29.28515625" style="20" customWidth="1"/>
    <col min="14083" max="14083" width="9.42578125" style="20" customWidth="1"/>
    <col min="14084" max="14084" width="9.28515625" style="20" customWidth="1"/>
    <col min="14085" max="14085" width="16.28515625" style="20" customWidth="1"/>
    <col min="14086" max="14086" width="0" style="20" hidden="1" customWidth="1"/>
    <col min="14087" max="14087" width="9.85546875" style="20" customWidth="1"/>
    <col min="14088" max="14089" width="0" style="20" hidden="1" customWidth="1"/>
    <col min="14090" max="14090" width="31.5703125" style="20" customWidth="1"/>
    <col min="14091" max="14091" width="13.28515625" style="20" customWidth="1"/>
    <col min="14092" max="14092" width="10.85546875" style="20" customWidth="1"/>
    <col min="14093" max="14093" width="23.7109375" style="20" customWidth="1"/>
    <col min="14094" max="14094" width="10.140625" style="20" customWidth="1"/>
    <col min="14095" max="14095" width="10.28515625" style="20" customWidth="1"/>
    <col min="14096" max="14096" width="10.42578125" style="20" customWidth="1"/>
    <col min="14097" max="14336" width="9.140625" style="20"/>
    <col min="14337" max="14337" width="5.140625" style="20" customWidth="1"/>
    <col min="14338" max="14338" width="29.28515625" style="20" customWidth="1"/>
    <col min="14339" max="14339" width="9.42578125" style="20" customWidth="1"/>
    <col min="14340" max="14340" width="9.28515625" style="20" customWidth="1"/>
    <col min="14341" max="14341" width="16.28515625" style="20" customWidth="1"/>
    <col min="14342" max="14342" width="0" style="20" hidden="1" customWidth="1"/>
    <col min="14343" max="14343" width="9.85546875" style="20" customWidth="1"/>
    <col min="14344" max="14345" width="0" style="20" hidden="1" customWidth="1"/>
    <col min="14346" max="14346" width="31.5703125" style="20" customWidth="1"/>
    <col min="14347" max="14347" width="13.28515625" style="20" customWidth="1"/>
    <col min="14348" max="14348" width="10.85546875" style="20" customWidth="1"/>
    <col min="14349" max="14349" width="23.7109375" style="20" customWidth="1"/>
    <col min="14350" max="14350" width="10.140625" style="20" customWidth="1"/>
    <col min="14351" max="14351" width="10.28515625" style="20" customWidth="1"/>
    <col min="14352" max="14352" width="10.42578125" style="20" customWidth="1"/>
    <col min="14353" max="14592" width="9.140625" style="20"/>
    <col min="14593" max="14593" width="5.140625" style="20" customWidth="1"/>
    <col min="14594" max="14594" width="29.28515625" style="20" customWidth="1"/>
    <col min="14595" max="14595" width="9.42578125" style="20" customWidth="1"/>
    <col min="14596" max="14596" width="9.28515625" style="20" customWidth="1"/>
    <col min="14597" max="14597" width="16.28515625" style="20" customWidth="1"/>
    <col min="14598" max="14598" width="0" style="20" hidden="1" customWidth="1"/>
    <col min="14599" max="14599" width="9.85546875" style="20" customWidth="1"/>
    <col min="14600" max="14601" width="0" style="20" hidden="1" customWidth="1"/>
    <col min="14602" max="14602" width="31.5703125" style="20" customWidth="1"/>
    <col min="14603" max="14603" width="13.28515625" style="20" customWidth="1"/>
    <col min="14604" max="14604" width="10.85546875" style="20" customWidth="1"/>
    <col min="14605" max="14605" width="23.7109375" style="20" customWidth="1"/>
    <col min="14606" max="14606" width="10.140625" style="20" customWidth="1"/>
    <col min="14607" max="14607" width="10.28515625" style="20" customWidth="1"/>
    <col min="14608" max="14608" width="10.42578125" style="20" customWidth="1"/>
    <col min="14609" max="14848" width="9.140625" style="20"/>
    <col min="14849" max="14849" width="5.140625" style="20" customWidth="1"/>
    <col min="14850" max="14850" width="29.28515625" style="20" customWidth="1"/>
    <col min="14851" max="14851" width="9.42578125" style="20" customWidth="1"/>
    <col min="14852" max="14852" width="9.28515625" style="20" customWidth="1"/>
    <col min="14853" max="14853" width="16.28515625" style="20" customWidth="1"/>
    <col min="14854" max="14854" width="0" style="20" hidden="1" customWidth="1"/>
    <col min="14855" max="14855" width="9.85546875" style="20" customWidth="1"/>
    <col min="14856" max="14857" width="0" style="20" hidden="1" customWidth="1"/>
    <col min="14858" max="14858" width="31.5703125" style="20" customWidth="1"/>
    <col min="14859" max="14859" width="13.28515625" style="20" customWidth="1"/>
    <col min="14860" max="14860" width="10.85546875" style="20" customWidth="1"/>
    <col min="14861" max="14861" width="23.7109375" style="20" customWidth="1"/>
    <col min="14862" max="14862" width="10.140625" style="20" customWidth="1"/>
    <col min="14863" max="14863" width="10.28515625" style="20" customWidth="1"/>
    <col min="14864" max="14864" width="10.42578125" style="20" customWidth="1"/>
    <col min="14865" max="15104" width="9.140625" style="20"/>
    <col min="15105" max="15105" width="5.140625" style="20" customWidth="1"/>
    <col min="15106" max="15106" width="29.28515625" style="20" customWidth="1"/>
    <col min="15107" max="15107" width="9.42578125" style="20" customWidth="1"/>
    <col min="15108" max="15108" width="9.28515625" style="20" customWidth="1"/>
    <col min="15109" max="15109" width="16.28515625" style="20" customWidth="1"/>
    <col min="15110" max="15110" width="0" style="20" hidden="1" customWidth="1"/>
    <col min="15111" max="15111" width="9.85546875" style="20" customWidth="1"/>
    <col min="15112" max="15113" width="0" style="20" hidden="1" customWidth="1"/>
    <col min="15114" max="15114" width="31.5703125" style="20" customWidth="1"/>
    <col min="15115" max="15115" width="13.28515625" style="20" customWidth="1"/>
    <col min="15116" max="15116" width="10.85546875" style="20" customWidth="1"/>
    <col min="15117" max="15117" width="23.7109375" style="20" customWidth="1"/>
    <col min="15118" max="15118" width="10.140625" style="20" customWidth="1"/>
    <col min="15119" max="15119" width="10.28515625" style="20" customWidth="1"/>
    <col min="15120" max="15120" width="10.42578125" style="20" customWidth="1"/>
    <col min="15121" max="15360" width="9.140625" style="20"/>
    <col min="15361" max="15361" width="5.140625" style="20" customWidth="1"/>
    <col min="15362" max="15362" width="29.28515625" style="20" customWidth="1"/>
    <col min="15363" max="15363" width="9.42578125" style="20" customWidth="1"/>
    <col min="15364" max="15364" width="9.28515625" style="20" customWidth="1"/>
    <col min="15365" max="15365" width="16.28515625" style="20" customWidth="1"/>
    <col min="15366" max="15366" width="0" style="20" hidden="1" customWidth="1"/>
    <col min="15367" max="15367" width="9.85546875" style="20" customWidth="1"/>
    <col min="15368" max="15369" width="0" style="20" hidden="1" customWidth="1"/>
    <col min="15370" max="15370" width="31.5703125" style="20" customWidth="1"/>
    <col min="15371" max="15371" width="13.28515625" style="20" customWidth="1"/>
    <col min="15372" max="15372" width="10.85546875" style="20" customWidth="1"/>
    <col min="15373" max="15373" width="23.7109375" style="20" customWidth="1"/>
    <col min="15374" max="15374" width="10.140625" style="20" customWidth="1"/>
    <col min="15375" max="15375" width="10.28515625" style="20" customWidth="1"/>
    <col min="15376" max="15376" width="10.42578125" style="20" customWidth="1"/>
    <col min="15377" max="15616" width="9.140625" style="20"/>
    <col min="15617" max="15617" width="5.140625" style="20" customWidth="1"/>
    <col min="15618" max="15618" width="29.28515625" style="20" customWidth="1"/>
    <col min="15619" max="15619" width="9.42578125" style="20" customWidth="1"/>
    <col min="15620" max="15620" width="9.28515625" style="20" customWidth="1"/>
    <col min="15621" max="15621" width="16.28515625" style="20" customWidth="1"/>
    <col min="15622" max="15622" width="0" style="20" hidden="1" customWidth="1"/>
    <col min="15623" max="15623" width="9.85546875" style="20" customWidth="1"/>
    <col min="15624" max="15625" width="0" style="20" hidden="1" customWidth="1"/>
    <col min="15626" max="15626" width="31.5703125" style="20" customWidth="1"/>
    <col min="15627" max="15627" width="13.28515625" style="20" customWidth="1"/>
    <col min="15628" max="15628" width="10.85546875" style="20" customWidth="1"/>
    <col min="15629" max="15629" width="23.7109375" style="20" customWidth="1"/>
    <col min="15630" max="15630" width="10.140625" style="20" customWidth="1"/>
    <col min="15631" max="15631" width="10.28515625" style="20" customWidth="1"/>
    <col min="15632" max="15632" width="10.42578125" style="20" customWidth="1"/>
    <col min="15633" max="15872" width="9.140625" style="20"/>
    <col min="15873" max="15873" width="5.140625" style="20" customWidth="1"/>
    <col min="15874" max="15874" width="29.28515625" style="20" customWidth="1"/>
    <col min="15875" max="15875" width="9.42578125" style="20" customWidth="1"/>
    <col min="15876" max="15876" width="9.28515625" style="20" customWidth="1"/>
    <col min="15877" max="15877" width="16.28515625" style="20" customWidth="1"/>
    <col min="15878" max="15878" width="0" style="20" hidden="1" customWidth="1"/>
    <col min="15879" max="15879" width="9.85546875" style="20" customWidth="1"/>
    <col min="15880" max="15881" width="0" style="20" hidden="1" customWidth="1"/>
    <col min="15882" max="15882" width="31.5703125" style="20" customWidth="1"/>
    <col min="15883" max="15883" width="13.28515625" style="20" customWidth="1"/>
    <col min="15884" max="15884" width="10.85546875" style="20" customWidth="1"/>
    <col min="15885" max="15885" width="23.7109375" style="20" customWidth="1"/>
    <col min="15886" max="15886" width="10.140625" style="20" customWidth="1"/>
    <col min="15887" max="15887" width="10.28515625" style="20" customWidth="1"/>
    <col min="15888" max="15888" width="10.42578125" style="20" customWidth="1"/>
    <col min="15889" max="16128" width="9.140625" style="20"/>
    <col min="16129" max="16129" width="5.140625" style="20" customWidth="1"/>
    <col min="16130" max="16130" width="29.28515625" style="20" customWidth="1"/>
    <col min="16131" max="16131" width="9.42578125" style="20" customWidth="1"/>
    <col min="16132" max="16132" width="9.28515625" style="20" customWidth="1"/>
    <col min="16133" max="16133" width="16.28515625" style="20" customWidth="1"/>
    <col min="16134" max="16134" width="0" style="20" hidden="1" customWidth="1"/>
    <col min="16135" max="16135" width="9.85546875" style="20" customWidth="1"/>
    <col min="16136" max="16137" width="0" style="20" hidden="1" customWidth="1"/>
    <col min="16138" max="16138" width="31.5703125" style="20" customWidth="1"/>
    <col min="16139" max="16139" width="13.28515625" style="20" customWidth="1"/>
    <col min="16140" max="16140" width="10.85546875" style="20" customWidth="1"/>
    <col min="16141" max="16141" width="23.7109375" style="20" customWidth="1"/>
    <col min="16142" max="16142" width="10.140625" style="20" customWidth="1"/>
    <col min="16143" max="16143" width="10.28515625" style="20" customWidth="1"/>
    <col min="16144" max="16144" width="10.42578125" style="20" customWidth="1"/>
    <col min="16145" max="16384" width="9.140625" style="20"/>
  </cols>
  <sheetData>
    <row r="1" spans="1:16" ht="18.75">
      <c r="A1" s="512"/>
      <c r="B1" s="513"/>
      <c r="C1" s="514"/>
      <c r="D1" s="514"/>
      <c r="E1" s="514"/>
      <c r="F1" s="515"/>
      <c r="G1" s="516"/>
      <c r="H1" s="515"/>
      <c r="I1" s="516"/>
      <c r="J1" s="517"/>
      <c r="K1" s="518"/>
      <c r="L1" s="518"/>
      <c r="M1" s="802" t="s">
        <v>387</v>
      </c>
      <c r="N1" s="802"/>
      <c r="O1" s="802"/>
      <c r="P1" s="514"/>
    </row>
    <row r="2" spans="1:16" ht="18.75">
      <c r="A2" s="512"/>
      <c r="B2" s="513"/>
      <c r="C2" s="514"/>
      <c r="D2" s="514"/>
      <c r="E2" s="514"/>
      <c r="F2" s="515"/>
      <c r="G2" s="516"/>
      <c r="H2" s="515"/>
      <c r="I2" s="516"/>
      <c r="J2" s="517"/>
      <c r="K2" s="518"/>
      <c r="L2" s="518"/>
      <c r="M2" s="802" t="s">
        <v>49</v>
      </c>
      <c r="N2" s="802"/>
      <c r="O2" s="802"/>
      <c r="P2" s="514"/>
    </row>
    <row r="3" spans="1:16" ht="5.25" customHeight="1">
      <c r="A3" s="512"/>
      <c r="B3" s="513"/>
      <c r="C3" s="514"/>
      <c r="D3" s="514"/>
      <c r="E3" s="514"/>
      <c r="F3" s="515"/>
      <c r="G3" s="516"/>
      <c r="H3" s="515"/>
      <c r="I3" s="516"/>
      <c r="J3" s="517"/>
      <c r="K3" s="518"/>
      <c r="L3" s="518"/>
      <c r="M3" s="519"/>
      <c r="N3" s="519"/>
      <c r="O3" s="519"/>
      <c r="P3" s="514"/>
    </row>
    <row r="4" spans="1:16" ht="39" customHeight="1">
      <c r="A4" s="618"/>
      <c r="B4" s="803" t="s">
        <v>1356</v>
      </c>
      <c r="C4" s="803"/>
      <c r="D4" s="803"/>
      <c r="E4" s="803"/>
      <c r="F4" s="803"/>
      <c r="G4" s="803"/>
      <c r="H4" s="803"/>
      <c r="I4" s="803"/>
      <c r="J4" s="803"/>
      <c r="K4" s="803"/>
      <c r="L4" s="803"/>
      <c r="M4" s="803"/>
      <c r="N4" s="803"/>
      <c r="O4" s="803"/>
      <c r="P4" s="803"/>
    </row>
    <row r="5" spans="1:16">
      <c r="A5" s="804" t="s">
        <v>16</v>
      </c>
      <c r="B5" s="805" t="s">
        <v>220</v>
      </c>
      <c r="C5" s="806" t="s">
        <v>0</v>
      </c>
      <c r="D5" s="806"/>
      <c r="E5" s="806"/>
      <c r="F5" s="807" t="s">
        <v>221</v>
      </c>
      <c r="G5" s="807"/>
      <c r="H5" s="807"/>
      <c r="I5" s="807"/>
      <c r="J5" s="807"/>
      <c r="K5" s="807"/>
      <c r="L5" s="807"/>
      <c r="M5" s="805" t="s">
        <v>1</v>
      </c>
      <c r="N5" s="807" t="s">
        <v>2</v>
      </c>
      <c r="O5" s="807"/>
      <c r="P5" s="807"/>
    </row>
    <row r="6" spans="1:16" ht="9" customHeight="1">
      <c r="A6" s="804"/>
      <c r="B6" s="805"/>
      <c r="C6" s="806"/>
      <c r="D6" s="806"/>
      <c r="E6" s="806"/>
      <c r="F6" s="807"/>
      <c r="G6" s="807"/>
      <c r="H6" s="807"/>
      <c r="I6" s="807"/>
      <c r="J6" s="807"/>
      <c r="K6" s="807"/>
      <c r="L6" s="807"/>
      <c r="M6" s="805"/>
      <c r="N6" s="807"/>
      <c r="O6" s="807"/>
      <c r="P6" s="807"/>
    </row>
    <row r="7" spans="1:16" ht="38.25" customHeight="1">
      <c r="A7" s="804"/>
      <c r="B7" s="805"/>
      <c r="C7" s="520" t="s">
        <v>3</v>
      </c>
      <c r="D7" s="520" t="s">
        <v>4</v>
      </c>
      <c r="E7" s="520" t="s">
        <v>5</v>
      </c>
      <c r="F7" s="521" t="s">
        <v>412</v>
      </c>
      <c r="G7" s="522" t="s">
        <v>222</v>
      </c>
      <c r="H7" s="521" t="s">
        <v>6</v>
      </c>
      <c r="I7" s="522" t="s">
        <v>1357</v>
      </c>
      <c r="J7" s="614" t="s">
        <v>17</v>
      </c>
      <c r="K7" s="523" t="s">
        <v>314</v>
      </c>
      <c r="L7" s="523" t="s">
        <v>425</v>
      </c>
      <c r="M7" s="805"/>
      <c r="N7" s="520" t="s">
        <v>223</v>
      </c>
      <c r="O7" s="520" t="s">
        <v>315</v>
      </c>
      <c r="P7" s="520" t="s">
        <v>427</v>
      </c>
    </row>
    <row r="8" spans="1:16" ht="19.5" customHeight="1">
      <c r="A8" s="615">
        <v>1</v>
      </c>
      <c r="B8" s="614">
        <v>2</v>
      </c>
      <c r="C8" s="615">
        <v>3</v>
      </c>
      <c r="D8" s="615">
        <v>4</v>
      </c>
      <c r="E8" s="615">
        <v>5</v>
      </c>
      <c r="F8" s="521">
        <v>6</v>
      </c>
      <c r="G8" s="522">
        <v>7</v>
      </c>
      <c r="H8" s="521" t="s">
        <v>190</v>
      </c>
      <c r="I8" s="522">
        <v>9</v>
      </c>
      <c r="J8" s="614">
        <v>10</v>
      </c>
      <c r="K8" s="523">
        <v>11</v>
      </c>
      <c r="L8" s="523">
        <v>12</v>
      </c>
      <c r="M8" s="523">
        <v>13</v>
      </c>
      <c r="N8" s="615">
        <v>14</v>
      </c>
      <c r="O8" s="615">
        <v>15</v>
      </c>
      <c r="P8" s="615">
        <v>16</v>
      </c>
    </row>
    <row r="9" spans="1:16" s="707" customFormat="1" ht="62.25" customHeight="1">
      <c r="A9" s="704"/>
      <c r="B9" s="690" t="s">
        <v>1358</v>
      </c>
      <c r="C9" s="693" t="s">
        <v>23</v>
      </c>
      <c r="D9" s="693" t="s">
        <v>8</v>
      </c>
      <c r="E9" s="694" t="s">
        <v>85</v>
      </c>
      <c r="F9" s="705">
        <f>F10+F24+F27+F32+F35+F44+F53+F57</f>
        <v>55269.599999999999</v>
      </c>
      <c r="G9" s="706">
        <f>G10+G24+G27+G32+G35+G44+G53+G57</f>
        <v>100392.7</v>
      </c>
      <c r="H9" s="705">
        <f>H10+H24+H27+H35+H44+H54+H57</f>
        <v>42261.299999999988</v>
      </c>
      <c r="I9" s="706">
        <f>G9/F9*100</f>
        <v>181.64180670748476</v>
      </c>
      <c r="J9" s="523"/>
      <c r="K9" s="705">
        <f>K10+K24+K27+K32+K35+K44+K53+K57</f>
        <v>113768.29999999999</v>
      </c>
      <c r="L9" s="705">
        <f>L10+L24+L27+L32+L35+L44+L53+L57</f>
        <v>89780.700000000012</v>
      </c>
      <c r="M9" s="690"/>
      <c r="N9" s="691"/>
      <c r="O9" s="691"/>
      <c r="P9" s="691"/>
    </row>
    <row r="10" spans="1:16" ht="54" customHeight="1">
      <c r="A10" s="525">
        <v>1</v>
      </c>
      <c r="B10" s="614" t="s">
        <v>1359</v>
      </c>
      <c r="C10" s="615">
        <v>915</v>
      </c>
      <c r="D10" s="526"/>
      <c r="E10" s="612" t="s">
        <v>86</v>
      </c>
      <c r="F10" s="608">
        <f>F11+F16+F22</f>
        <v>4151.8</v>
      </c>
      <c r="G10" s="695">
        <f>G11+G16+G22</f>
        <v>37357.699999999997</v>
      </c>
      <c r="H10" s="608">
        <f>H11+H16+H22</f>
        <v>33205.899999999994</v>
      </c>
      <c r="I10" s="609">
        <f>G10/F10*100</f>
        <v>899.79526952165315</v>
      </c>
      <c r="J10" s="610"/>
      <c r="K10" s="608">
        <f>K11+K16+K22</f>
        <v>33918.800000000003</v>
      </c>
      <c r="L10" s="608">
        <f>L11+L16+L22</f>
        <v>32490.6</v>
      </c>
      <c r="M10" s="527"/>
      <c r="N10" s="524"/>
      <c r="O10" s="524"/>
      <c r="P10" s="524"/>
    </row>
    <row r="11" spans="1:16" ht="33.75" customHeight="1">
      <c r="A11" s="528" t="s">
        <v>191</v>
      </c>
      <c r="B11" s="610" t="s">
        <v>1360</v>
      </c>
      <c r="C11" s="697" t="s">
        <v>23</v>
      </c>
      <c r="D11" s="697" t="s">
        <v>8</v>
      </c>
      <c r="E11" s="703" t="s">
        <v>86</v>
      </c>
      <c r="F11" s="608">
        <f>F12+F13+F15</f>
        <v>3829.4</v>
      </c>
      <c r="G11" s="695">
        <f>G12+G13+G15</f>
        <v>36800.799999999996</v>
      </c>
      <c r="H11" s="608">
        <f>G11-F11</f>
        <v>32971.399999999994</v>
      </c>
      <c r="I11" s="609">
        <f>G11/F11*100</f>
        <v>961.00694625789936</v>
      </c>
      <c r="J11" s="610" t="s">
        <v>1361</v>
      </c>
      <c r="K11" s="609">
        <f>K12+K13+K15+K16+K22</f>
        <v>33613.800000000003</v>
      </c>
      <c r="L11" s="609">
        <f>L12+L13+L15+L16+L22</f>
        <v>32198.199999999997</v>
      </c>
      <c r="M11" s="527"/>
      <c r="N11" s="526"/>
      <c r="O11" s="526"/>
      <c r="P11" s="526"/>
    </row>
    <row r="12" spans="1:16" ht="39.75" customHeight="1">
      <c r="A12" s="528" t="s">
        <v>186</v>
      </c>
      <c r="B12" s="610" t="s">
        <v>310</v>
      </c>
      <c r="C12" s="697" t="s">
        <v>23</v>
      </c>
      <c r="D12" s="697" t="s">
        <v>8</v>
      </c>
      <c r="E12" s="703" t="s">
        <v>86</v>
      </c>
      <c r="F12" s="608">
        <v>31.9</v>
      </c>
      <c r="G12" s="695">
        <v>28.7</v>
      </c>
      <c r="H12" s="608">
        <f t="shared" ref="H12:H59" si="0">G12-F12</f>
        <v>-3.1999999999999993</v>
      </c>
      <c r="I12" s="609">
        <f t="shared" ref="I12:I59" si="1">G12/F12*100</f>
        <v>89.968652037617559</v>
      </c>
      <c r="J12" s="610" t="s">
        <v>1362</v>
      </c>
      <c r="K12" s="607">
        <v>27.3</v>
      </c>
      <c r="L12" s="607">
        <v>26.1</v>
      </c>
      <c r="M12" s="529" t="s">
        <v>1363</v>
      </c>
      <c r="N12" s="530">
        <v>554.1</v>
      </c>
      <c r="O12" s="530">
        <v>554.20000000000005</v>
      </c>
      <c r="P12" s="530">
        <v>554.20000000000005</v>
      </c>
    </row>
    <row r="13" spans="1:16" ht="42" customHeight="1">
      <c r="A13" s="528" t="s">
        <v>192</v>
      </c>
      <c r="B13" s="610" t="s">
        <v>355</v>
      </c>
      <c r="C13" s="697" t="s">
        <v>23</v>
      </c>
      <c r="D13" s="697" t="s">
        <v>8</v>
      </c>
      <c r="E13" s="703" t="s">
        <v>86</v>
      </c>
      <c r="F13" s="608">
        <v>3773.7</v>
      </c>
      <c r="G13" s="695">
        <v>36750.6</v>
      </c>
      <c r="H13" s="608">
        <f t="shared" si="0"/>
        <v>32976.9</v>
      </c>
      <c r="I13" s="609">
        <f t="shared" si="1"/>
        <v>973.8611972334844</v>
      </c>
      <c r="J13" s="610" t="s">
        <v>1364</v>
      </c>
      <c r="K13" s="607">
        <v>33261.1</v>
      </c>
      <c r="L13" s="607">
        <v>31860.1</v>
      </c>
      <c r="M13" s="529" t="s">
        <v>1365</v>
      </c>
      <c r="N13" s="530">
        <v>2.5</v>
      </c>
      <c r="O13" s="530">
        <v>2.5</v>
      </c>
      <c r="P13" s="530">
        <v>2.5</v>
      </c>
    </row>
    <row r="14" spans="1:16" ht="23.25" customHeight="1">
      <c r="A14" s="528"/>
      <c r="B14" s="794"/>
      <c r="C14" s="797"/>
      <c r="D14" s="797"/>
      <c r="E14" s="797"/>
      <c r="F14" s="797"/>
      <c r="G14" s="797"/>
      <c r="H14" s="797"/>
      <c r="I14" s="797"/>
      <c r="J14" s="797"/>
      <c r="K14" s="797"/>
      <c r="L14" s="797"/>
      <c r="M14" s="529" t="s">
        <v>1366</v>
      </c>
      <c r="N14" s="530">
        <v>3818</v>
      </c>
      <c r="O14" s="530">
        <v>3855</v>
      </c>
      <c r="P14" s="530">
        <v>3893</v>
      </c>
    </row>
    <row r="15" spans="1:16" ht="31.5">
      <c r="A15" s="528" t="s">
        <v>226</v>
      </c>
      <c r="B15" s="610" t="s">
        <v>210</v>
      </c>
      <c r="C15" s="697" t="s">
        <v>23</v>
      </c>
      <c r="D15" s="697" t="s">
        <v>8</v>
      </c>
      <c r="E15" s="703" t="s">
        <v>86</v>
      </c>
      <c r="F15" s="608">
        <v>23.8</v>
      </c>
      <c r="G15" s="695">
        <v>21.5</v>
      </c>
      <c r="H15" s="608">
        <f t="shared" si="0"/>
        <v>-2.3000000000000007</v>
      </c>
      <c r="I15" s="609">
        <f t="shared" si="1"/>
        <v>90.336134453781511</v>
      </c>
      <c r="J15" s="610"/>
      <c r="K15" s="607">
        <v>20.399999999999999</v>
      </c>
      <c r="L15" s="607">
        <v>19.600000000000001</v>
      </c>
      <c r="M15" s="529"/>
      <c r="N15" s="531"/>
      <c r="O15" s="531"/>
      <c r="P15" s="531"/>
    </row>
    <row r="16" spans="1:16" ht="31.5">
      <c r="A16" s="528" t="s">
        <v>231</v>
      </c>
      <c r="B16" s="610" t="s">
        <v>1367</v>
      </c>
      <c r="C16" s="696">
        <v>915</v>
      </c>
      <c r="D16" s="697" t="s">
        <v>8</v>
      </c>
      <c r="E16" s="703" t="s">
        <v>86</v>
      </c>
      <c r="F16" s="608">
        <f>F17+F18+F19</f>
        <v>194.9</v>
      </c>
      <c r="G16" s="695">
        <f>G17+G18+G19</f>
        <v>388.1</v>
      </c>
      <c r="H16" s="608">
        <f t="shared" si="0"/>
        <v>193.20000000000002</v>
      </c>
      <c r="I16" s="609">
        <f t="shared" si="1"/>
        <v>199.12775782452542</v>
      </c>
      <c r="J16" s="610"/>
      <c r="K16" s="607">
        <f>K17+K18+K19</f>
        <v>195.9</v>
      </c>
      <c r="L16" s="609">
        <f>L17+L18+L19</f>
        <v>187.9</v>
      </c>
      <c r="M16" s="529"/>
      <c r="N16" s="530"/>
      <c r="O16" s="606"/>
      <c r="P16" s="606"/>
    </row>
    <row r="17" spans="1:16" ht="67.5" customHeight="1">
      <c r="A17" s="528" t="s">
        <v>193</v>
      </c>
      <c r="B17" s="610" t="s">
        <v>1368</v>
      </c>
      <c r="C17" s="697" t="s">
        <v>23</v>
      </c>
      <c r="D17" s="697" t="s">
        <v>8</v>
      </c>
      <c r="E17" s="703" t="s">
        <v>86</v>
      </c>
      <c r="F17" s="609">
        <v>4.8</v>
      </c>
      <c r="G17" s="695">
        <v>18.3</v>
      </c>
      <c r="H17" s="608">
        <f t="shared" si="0"/>
        <v>13.5</v>
      </c>
      <c r="I17" s="609">
        <f t="shared" si="1"/>
        <v>381.25000000000006</v>
      </c>
      <c r="J17" s="610" t="s">
        <v>1369</v>
      </c>
      <c r="K17" s="607">
        <v>17.3</v>
      </c>
      <c r="L17" s="607">
        <v>16.600000000000001</v>
      </c>
      <c r="M17" s="529" t="s">
        <v>1370</v>
      </c>
      <c r="N17" s="531">
        <v>10</v>
      </c>
      <c r="O17" s="531">
        <v>10</v>
      </c>
      <c r="P17" s="531">
        <v>10</v>
      </c>
    </row>
    <row r="18" spans="1:16" ht="42.75" customHeight="1">
      <c r="A18" s="528" t="s">
        <v>234</v>
      </c>
      <c r="B18" s="610" t="s">
        <v>311</v>
      </c>
      <c r="C18" s="697" t="s">
        <v>23</v>
      </c>
      <c r="D18" s="697" t="s">
        <v>8</v>
      </c>
      <c r="E18" s="703" t="s">
        <v>86</v>
      </c>
      <c r="F18" s="608">
        <v>144.1</v>
      </c>
      <c r="G18" s="695">
        <v>233.8</v>
      </c>
      <c r="H18" s="608">
        <f t="shared" si="0"/>
        <v>89.700000000000017</v>
      </c>
      <c r="I18" s="609">
        <f t="shared" si="1"/>
        <v>162.24843858431646</v>
      </c>
      <c r="J18" s="610" t="s">
        <v>1371</v>
      </c>
      <c r="K18" s="607">
        <v>134.1</v>
      </c>
      <c r="L18" s="607">
        <v>127.4</v>
      </c>
      <c r="M18" s="529"/>
      <c r="N18" s="531"/>
      <c r="O18" s="531"/>
      <c r="P18" s="531"/>
    </row>
    <row r="19" spans="1:16" ht="21.75" customHeight="1">
      <c r="A19" s="798" t="s">
        <v>356</v>
      </c>
      <c r="B19" s="794" t="s">
        <v>357</v>
      </c>
      <c r="C19" s="795" t="s">
        <v>23</v>
      </c>
      <c r="D19" s="795" t="s">
        <v>8</v>
      </c>
      <c r="E19" s="796" t="s">
        <v>86</v>
      </c>
      <c r="F19" s="793">
        <v>46</v>
      </c>
      <c r="G19" s="793">
        <v>136</v>
      </c>
      <c r="H19" s="793">
        <f t="shared" si="0"/>
        <v>90</v>
      </c>
      <c r="I19" s="793">
        <f t="shared" si="1"/>
        <v>295.65217391304344</v>
      </c>
      <c r="J19" s="794" t="s">
        <v>402</v>
      </c>
      <c r="K19" s="791">
        <v>44.5</v>
      </c>
      <c r="L19" s="791">
        <v>43.9</v>
      </c>
      <c r="M19" s="529"/>
      <c r="N19" s="530"/>
      <c r="O19" s="530"/>
      <c r="P19" s="530"/>
    </row>
    <row r="20" spans="1:16" ht="15.75">
      <c r="A20" s="798"/>
      <c r="B20" s="794"/>
      <c r="C20" s="795"/>
      <c r="D20" s="795"/>
      <c r="E20" s="796"/>
      <c r="F20" s="799"/>
      <c r="G20" s="799"/>
      <c r="H20" s="799"/>
      <c r="I20" s="799"/>
      <c r="J20" s="800"/>
      <c r="K20" s="801"/>
      <c r="L20" s="801"/>
      <c r="M20" s="529"/>
      <c r="N20" s="530"/>
      <c r="O20" s="530"/>
      <c r="P20" s="530"/>
    </row>
    <row r="21" spans="1:16" ht="20.25" customHeight="1">
      <c r="A21" s="798"/>
      <c r="B21" s="794"/>
      <c r="C21" s="795"/>
      <c r="D21" s="795"/>
      <c r="E21" s="796"/>
      <c r="F21" s="799"/>
      <c r="G21" s="799"/>
      <c r="H21" s="799"/>
      <c r="I21" s="799"/>
      <c r="J21" s="800"/>
      <c r="K21" s="801"/>
      <c r="L21" s="801"/>
      <c r="M21" s="529"/>
      <c r="N21" s="530"/>
      <c r="O21" s="530"/>
      <c r="P21" s="530"/>
    </row>
    <row r="22" spans="1:16" ht="31.5" customHeight="1">
      <c r="A22" s="528" t="s">
        <v>236</v>
      </c>
      <c r="B22" s="610" t="s">
        <v>1372</v>
      </c>
      <c r="C22" s="697" t="s">
        <v>23</v>
      </c>
      <c r="D22" s="697" t="s">
        <v>8</v>
      </c>
      <c r="E22" s="703" t="s">
        <v>86</v>
      </c>
      <c r="F22" s="608">
        <v>127.5</v>
      </c>
      <c r="G22" s="695">
        <f>G23</f>
        <v>168.8</v>
      </c>
      <c r="H22" s="608">
        <f t="shared" si="0"/>
        <v>41.300000000000011</v>
      </c>
      <c r="I22" s="609">
        <f t="shared" si="1"/>
        <v>132.39215686274511</v>
      </c>
      <c r="J22" s="610"/>
      <c r="K22" s="607">
        <f>K23</f>
        <v>109.1</v>
      </c>
      <c r="L22" s="607">
        <f>L23</f>
        <v>104.5</v>
      </c>
      <c r="M22" s="529"/>
      <c r="N22" s="531"/>
      <c r="O22" s="531"/>
      <c r="P22" s="531"/>
    </row>
    <row r="23" spans="1:16" ht="57" customHeight="1">
      <c r="A23" s="528" t="s">
        <v>194</v>
      </c>
      <c r="B23" s="610" t="s">
        <v>1373</v>
      </c>
      <c r="C23" s="697" t="s">
        <v>23</v>
      </c>
      <c r="D23" s="697" t="s">
        <v>8</v>
      </c>
      <c r="E23" s="703" t="s">
        <v>86</v>
      </c>
      <c r="F23" s="608">
        <v>127.5</v>
      </c>
      <c r="G23" s="695">
        <v>168.8</v>
      </c>
      <c r="H23" s="608">
        <f t="shared" si="0"/>
        <v>41.300000000000011</v>
      </c>
      <c r="I23" s="609">
        <f t="shared" si="1"/>
        <v>132.39215686274511</v>
      </c>
      <c r="J23" s="610" t="s">
        <v>1374</v>
      </c>
      <c r="K23" s="607">
        <v>109.1</v>
      </c>
      <c r="L23" s="607">
        <v>104.5</v>
      </c>
      <c r="M23" s="529" t="s">
        <v>1675</v>
      </c>
      <c r="N23" s="530">
        <v>13</v>
      </c>
      <c r="O23" s="530">
        <v>14</v>
      </c>
      <c r="P23" s="530">
        <v>14</v>
      </c>
    </row>
    <row r="24" spans="1:16" ht="26.25" customHeight="1">
      <c r="A24" s="532" t="s">
        <v>46</v>
      </c>
      <c r="B24" s="614" t="s">
        <v>1375</v>
      </c>
      <c r="C24" s="611" t="s">
        <v>23</v>
      </c>
      <c r="D24" s="611" t="s">
        <v>8</v>
      </c>
      <c r="E24" s="612" t="s">
        <v>88</v>
      </c>
      <c r="F24" s="608">
        <f>F25</f>
        <v>1319.5</v>
      </c>
      <c r="G24" s="695">
        <f>G25</f>
        <v>1856.5</v>
      </c>
      <c r="H24" s="608">
        <f t="shared" si="0"/>
        <v>537</v>
      </c>
      <c r="I24" s="609">
        <f t="shared" si="1"/>
        <v>140.69723380068208</v>
      </c>
      <c r="J24" s="610"/>
      <c r="K24" s="608">
        <f>K25</f>
        <v>1645.4</v>
      </c>
      <c r="L24" s="608">
        <f>L25</f>
        <v>1576.1</v>
      </c>
      <c r="M24" s="529"/>
      <c r="N24" s="531"/>
      <c r="O24" s="531"/>
      <c r="P24" s="531"/>
    </row>
    <row r="25" spans="1:16" ht="31.5">
      <c r="A25" s="528" t="s">
        <v>195</v>
      </c>
      <c r="B25" s="610" t="s">
        <v>1376</v>
      </c>
      <c r="C25" s="697" t="s">
        <v>23</v>
      </c>
      <c r="D25" s="697" t="s">
        <v>8</v>
      </c>
      <c r="E25" s="703" t="s">
        <v>88</v>
      </c>
      <c r="F25" s="608">
        <f>F26</f>
        <v>1319.5</v>
      </c>
      <c r="G25" s="695">
        <f>G26</f>
        <v>1856.5</v>
      </c>
      <c r="H25" s="608">
        <f t="shared" si="0"/>
        <v>537</v>
      </c>
      <c r="I25" s="609">
        <f t="shared" si="1"/>
        <v>140.69723380068208</v>
      </c>
      <c r="J25" s="610"/>
      <c r="K25" s="524">
        <f>K26</f>
        <v>1645.4</v>
      </c>
      <c r="L25" s="524">
        <f>L26</f>
        <v>1576.1</v>
      </c>
      <c r="M25" s="529"/>
      <c r="N25" s="606"/>
      <c r="O25" s="530"/>
      <c r="P25" s="606"/>
    </row>
    <row r="26" spans="1:16" ht="38.25" customHeight="1">
      <c r="A26" s="528" t="s">
        <v>196</v>
      </c>
      <c r="B26" s="610" t="s">
        <v>1377</v>
      </c>
      <c r="C26" s="697" t="s">
        <v>23</v>
      </c>
      <c r="D26" s="697" t="s">
        <v>8</v>
      </c>
      <c r="E26" s="703" t="s">
        <v>88</v>
      </c>
      <c r="F26" s="608">
        <v>1319.5</v>
      </c>
      <c r="G26" s="695">
        <v>1856.5</v>
      </c>
      <c r="H26" s="608">
        <f t="shared" si="0"/>
        <v>537</v>
      </c>
      <c r="I26" s="609">
        <f t="shared" si="1"/>
        <v>140.69723380068208</v>
      </c>
      <c r="J26" s="610" t="s">
        <v>1378</v>
      </c>
      <c r="K26" s="607">
        <v>1645.4</v>
      </c>
      <c r="L26" s="607">
        <v>1576.1</v>
      </c>
      <c r="M26" s="529" t="s">
        <v>1676</v>
      </c>
      <c r="N26" s="533">
        <v>9</v>
      </c>
      <c r="O26" s="533">
        <v>10</v>
      </c>
      <c r="P26" s="533">
        <v>11</v>
      </c>
    </row>
    <row r="27" spans="1:16" ht="60" customHeight="1">
      <c r="A27" s="528" t="s">
        <v>19</v>
      </c>
      <c r="B27" s="614" t="s">
        <v>1379</v>
      </c>
      <c r="C27" s="611" t="s">
        <v>23</v>
      </c>
      <c r="D27" s="611" t="s">
        <v>8</v>
      </c>
      <c r="E27" s="612" t="s">
        <v>89</v>
      </c>
      <c r="F27" s="534">
        <f>F28+F31</f>
        <v>18628.8</v>
      </c>
      <c r="G27" s="701">
        <f>G28+G31</f>
        <v>19811.599999999999</v>
      </c>
      <c r="H27" s="608">
        <f t="shared" si="0"/>
        <v>1182.7999999999993</v>
      </c>
      <c r="I27" s="609">
        <f t="shared" si="1"/>
        <v>106.34930859744051</v>
      </c>
      <c r="J27" s="610"/>
      <c r="K27" s="534">
        <f>K28+K31</f>
        <v>18787.100000000002</v>
      </c>
      <c r="L27" s="534">
        <f>L28+L31</f>
        <v>17996.099999999999</v>
      </c>
      <c r="M27" s="529"/>
      <c r="N27" s="531"/>
      <c r="O27" s="531"/>
      <c r="P27" s="531"/>
    </row>
    <row r="28" spans="1:16" ht="31.5">
      <c r="A28" s="528" t="s">
        <v>290</v>
      </c>
      <c r="B28" s="610" t="s">
        <v>1380</v>
      </c>
      <c r="C28" s="697" t="s">
        <v>23</v>
      </c>
      <c r="D28" s="697" t="s">
        <v>8</v>
      </c>
      <c r="E28" s="703" t="s">
        <v>89</v>
      </c>
      <c r="F28" s="608">
        <f>F29+F30+F31</f>
        <v>18338.5</v>
      </c>
      <c r="G28" s="695">
        <f>G29+G30+G31</f>
        <v>19811.599999999999</v>
      </c>
      <c r="H28" s="608">
        <f>H29+H30+H31</f>
        <v>1473.0999999999979</v>
      </c>
      <c r="I28" s="609">
        <f t="shared" si="1"/>
        <v>108.03282711235924</v>
      </c>
      <c r="J28" s="610"/>
      <c r="K28" s="609">
        <f>K29+K30+K31</f>
        <v>18787.100000000002</v>
      </c>
      <c r="L28" s="609">
        <f>L29+L30+L31</f>
        <v>17996.099999999999</v>
      </c>
      <c r="M28" s="529" t="s">
        <v>358</v>
      </c>
      <c r="N28" s="606">
        <v>5.0999999999999996</v>
      </c>
      <c r="O28" s="606">
        <v>5.0999999999999996</v>
      </c>
      <c r="P28" s="606">
        <v>5.0999999999999996</v>
      </c>
    </row>
    <row r="29" spans="1:16" ht="49.5" customHeight="1">
      <c r="A29" s="528" t="s">
        <v>241</v>
      </c>
      <c r="B29" s="610" t="s">
        <v>1381</v>
      </c>
      <c r="C29" s="697" t="s">
        <v>23</v>
      </c>
      <c r="D29" s="697" t="s">
        <v>8</v>
      </c>
      <c r="E29" s="703" t="s">
        <v>89</v>
      </c>
      <c r="F29" s="608">
        <v>17283.2</v>
      </c>
      <c r="G29" s="695">
        <v>19046.599999999999</v>
      </c>
      <c r="H29" s="608">
        <f t="shared" si="0"/>
        <v>1763.3999999999978</v>
      </c>
      <c r="I29" s="609">
        <f t="shared" si="1"/>
        <v>110.20297167191259</v>
      </c>
      <c r="J29" s="610" t="s">
        <v>1382</v>
      </c>
      <c r="K29" s="607">
        <v>18060.400000000001</v>
      </c>
      <c r="L29" s="607">
        <v>17300</v>
      </c>
      <c r="M29" s="529" t="s">
        <v>361</v>
      </c>
      <c r="N29" s="533">
        <v>48.9</v>
      </c>
      <c r="O29" s="533">
        <v>48.9</v>
      </c>
      <c r="P29" s="533">
        <v>49</v>
      </c>
    </row>
    <row r="30" spans="1:16" ht="51.75" customHeight="1">
      <c r="A30" s="528" t="s">
        <v>340</v>
      </c>
      <c r="B30" s="610" t="s">
        <v>215</v>
      </c>
      <c r="C30" s="697" t="s">
        <v>23</v>
      </c>
      <c r="D30" s="697" t="s">
        <v>8</v>
      </c>
      <c r="E30" s="703" t="s">
        <v>89</v>
      </c>
      <c r="F30" s="608">
        <v>765</v>
      </c>
      <c r="G30" s="695">
        <v>765</v>
      </c>
      <c r="H30" s="608">
        <f t="shared" si="0"/>
        <v>0</v>
      </c>
      <c r="I30" s="609">
        <f t="shared" si="1"/>
        <v>100</v>
      </c>
      <c r="J30" s="610" t="s">
        <v>1383</v>
      </c>
      <c r="K30" s="607">
        <v>726.7</v>
      </c>
      <c r="L30" s="607">
        <v>696.1</v>
      </c>
      <c r="M30" s="529" t="s">
        <v>1384</v>
      </c>
      <c r="N30" s="535">
        <v>10</v>
      </c>
      <c r="O30" s="535">
        <v>12</v>
      </c>
      <c r="P30" s="535">
        <v>14</v>
      </c>
    </row>
    <row r="31" spans="1:16" ht="105" customHeight="1">
      <c r="A31" s="528" t="s">
        <v>359</v>
      </c>
      <c r="B31" s="610" t="s">
        <v>360</v>
      </c>
      <c r="C31" s="697" t="s">
        <v>23</v>
      </c>
      <c r="D31" s="697" t="s">
        <v>8</v>
      </c>
      <c r="E31" s="703" t="s">
        <v>89</v>
      </c>
      <c r="F31" s="608">
        <v>290.3</v>
      </c>
      <c r="G31" s="695">
        <v>0</v>
      </c>
      <c r="H31" s="608">
        <f t="shared" si="0"/>
        <v>-290.3</v>
      </c>
      <c r="I31" s="609">
        <f t="shared" si="1"/>
        <v>0</v>
      </c>
      <c r="J31" s="610"/>
      <c r="K31" s="609">
        <v>0</v>
      </c>
      <c r="L31" s="609">
        <v>0</v>
      </c>
      <c r="M31" s="529" t="s">
        <v>1385</v>
      </c>
      <c r="N31" s="533"/>
      <c r="O31" s="533"/>
      <c r="P31" s="533"/>
    </row>
    <row r="32" spans="1:16" ht="15.75">
      <c r="A32" s="528" t="s">
        <v>21</v>
      </c>
      <c r="B32" s="614" t="s">
        <v>1386</v>
      </c>
      <c r="C32" s="611" t="s">
        <v>23</v>
      </c>
      <c r="D32" s="611"/>
      <c r="E32" s="612" t="s">
        <v>91</v>
      </c>
      <c r="F32" s="608">
        <f>F33</f>
        <v>5549</v>
      </c>
      <c r="G32" s="695">
        <f>G33</f>
        <v>6807.6</v>
      </c>
      <c r="H32" s="608">
        <f>G32-F32</f>
        <v>1258.6000000000004</v>
      </c>
      <c r="I32" s="609">
        <f>G32/F32*100</f>
        <v>122.68156424581007</v>
      </c>
      <c r="J32" s="610"/>
      <c r="K32" s="609">
        <f>K33</f>
        <v>6239</v>
      </c>
      <c r="L32" s="608">
        <f>L33</f>
        <v>5976.3</v>
      </c>
      <c r="M32" s="529"/>
      <c r="N32" s="533"/>
      <c r="O32" s="533"/>
      <c r="P32" s="533"/>
    </row>
    <row r="33" spans="1:16" ht="40.5" customHeight="1">
      <c r="A33" s="528" t="s">
        <v>362</v>
      </c>
      <c r="B33" s="610" t="s">
        <v>1387</v>
      </c>
      <c r="C33" s="697" t="s">
        <v>23</v>
      </c>
      <c r="D33" s="697"/>
      <c r="E33" s="703" t="s">
        <v>91</v>
      </c>
      <c r="F33" s="608">
        <v>5549</v>
      </c>
      <c r="G33" s="695">
        <v>6807.6</v>
      </c>
      <c r="H33" s="608">
        <f>G33-F33</f>
        <v>1258.6000000000004</v>
      </c>
      <c r="I33" s="609">
        <f>G33/F33*100</f>
        <v>122.68156424581007</v>
      </c>
      <c r="J33" s="610"/>
      <c r="K33" s="609">
        <v>6239</v>
      </c>
      <c r="L33" s="609">
        <v>5976.3</v>
      </c>
      <c r="M33" s="529"/>
      <c r="N33" s="533"/>
      <c r="O33" s="533"/>
      <c r="P33" s="533"/>
    </row>
    <row r="34" spans="1:16" ht="41.25" customHeight="1">
      <c r="A34" s="528" t="s">
        <v>363</v>
      </c>
      <c r="B34" s="610" t="s">
        <v>1388</v>
      </c>
      <c r="C34" s="697"/>
      <c r="D34" s="697"/>
      <c r="E34" s="703" t="s">
        <v>91</v>
      </c>
      <c r="F34" s="608"/>
      <c r="G34" s="695"/>
      <c r="H34" s="608"/>
      <c r="I34" s="609"/>
      <c r="J34" s="610" t="s">
        <v>1389</v>
      </c>
      <c r="K34" s="609">
        <v>6239</v>
      </c>
      <c r="L34" s="609">
        <v>5976.3</v>
      </c>
      <c r="M34" s="529" t="s">
        <v>1390</v>
      </c>
      <c r="N34" s="533">
        <v>23.1</v>
      </c>
      <c r="O34" s="533">
        <v>23.65</v>
      </c>
      <c r="P34" s="533">
        <v>24.2</v>
      </c>
    </row>
    <row r="35" spans="1:16" ht="54.75" customHeight="1">
      <c r="A35" s="528" t="s">
        <v>36</v>
      </c>
      <c r="B35" s="614" t="s">
        <v>1391</v>
      </c>
      <c r="C35" s="523">
        <v>915</v>
      </c>
      <c r="D35" s="611" t="s">
        <v>8</v>
      </c>
      <c r="E35" s="612" t="s">
        <v>96</v>
      </c>
      <c r="F35" s="536">
        <f>F36+F42</f>
        <v>18906.300000000003</v>
      </c>
      <c r="G35" s="539">
        <f>G36+G42</f>
        <v>20240.899999999998</v>
      </c>
      <c r="H35" s="608">
        <f t="shared" si="0"/>
        <v>1334.5999999999949</v>
      </c>
      <c r="I35" s="609">
        <f t="shared" si="1"/>
        <v>107.05902265382437</v>
      </c>
      <c r="J35" s="610"/>
      <c r="K35" s="536">
        <f>K36+K42</f>
        <v>19294.099999999999</v>
      </c>
      <c r="L35" s="536">
        <f>L36+L42</f>
        <v>18430.2</v>
      </c>
      <c r="M35" s="537"/>
      <c r="N35" s="531"/>
      <c r="O35" s="531"/>
      <c r="P35" s="531"/>
    </row>
    <row r="36" spans="1:16" ht="33" customHeight="1">
      <c r="A36" s="528" t="s">
        <v>369</v>
      </c>
      <c r="B36" s="610" t="s">
        <v>1392</v>
      </c>
      <c r="C36" s="697" t="s">
        <v>23</v>
      </c>
      <c r="D36" s="697" t="s">
        <v>8</v>
      </c>
      <c r="E36" s="703" t="s">
        <v>96</v>
      </c>
      <c r="F36" s="608">
        <f>F37+F38+F41</f>
        <v>18786.400000000001</v>
      </c>
      <c r="G36" s="695">
        <f>G37+G38+G41+G40</f>
        <v>20119.599999999999</v>
      </c>
      <c r="H36" s="609">
        <f>G36-F36</f>
        <v>1333.1999999999971</v>
      </c>
      <c r="I36" s="609">
        <f t="shared" si="1"/>
        <v>107.09662308904313</v>
      </c>
      <c r="J36" s="610"/>
      <c r="K36" s="607">
        <f>K37+K38+K41</f>
        <v>19172.8</v>
      </c>
      <c r="L36" s="607">
        <f>L37+L38+L41</f>
        <v>18308.900000000001</v>
      </c>
      <c r="M36" s="529"/>
      <c r="N36" s="531"/>
      <c r="O36" s="531"/>
      <c r="P36" s="531"/>
    </row>
    <row r="37" spans="1:16" ht="55.5" customHeight="1">
      <c r="A37" s="528" t="s">
        <v>889</v>
      </c>
      <c r="B37" s="610" t="s">
        <v>364</v>
      </c>
      <c r="C37" s="697" t="s">
        <v>23</v>
      </c>
      <c r="D37" s="697" t="s">
        <v>197</v>
      </c>
      <c r="E37" s="703" t="s">
        <v>96</v>
      </c>
      <c r="F37" s="608">
        <v>78.900000000000006</v>
      </c>
      <c r="G37" s="695">
        <v>46</v>
      </c>
      <c r="H37" s="608">
        <f t="shared" si="0"/>
        <v>-32.900000000000006</v>
      </c>
      <c r="I37" s="609">
        <f t="shared" si="1"/>
        <v>58.301647655259814</v>
      </c>
      <c r="J37" s="610" t="s">
        <v>1393</v>
      </c>
      <c r="K37" s="607">
        <v>132</v>
      </c>
      <c r="L37" s="607">
        <v>126.5</v>
      </c>
      <c r="M37" s="529" t="s">
        <v>1394</v>
      </c>
      <c r="N37" s="530">
        <v>60</v>
      </c>
      <c r="O37" s="530">
        <v>60</v>
      </c>
      <c r="P37" s="530">
        <v>62</v>
      </c>
    </row>
    <row r="38" spans="1:16" ht="69.75" customHeight="1">
      <c r="A38" s="795" t="s">
        <v>891</v>
      </c>
      <c r="B38" s="794" t="s">
        <v>307</v>
      </c>
      <c r="C38" s="795" t="s">
        <v>23</v>
      </c>
      <c r="D38" s="795" t="s">
        <v>197</v>
      </c>
      <c r="E38" s="796" t="s">
        <v>96</v>
      </c>
      <c r="F38" s="792">
        <v>18707.5</v>
      </c>
      <c r="G38" s="793">
        <v>19980.599999999999</v>
      </c>
      <c r="H38" s="792">
        <f t="shared" si="0"/>
        <v>1273.0999999999985</v>
      </c>
      <c r="I38" s="793">
        <f t="shared" si="1"/>
        <v>106.80529199518909</v>
      </c>
      <c r="J38" s="794" t="s">
        <v>1395</v>
      </c>
      <c r="K38" s="791">
        <v>19040.8</v>
      </c>
      <c r="L38" s="791">
        <v>18182.400000000001</v>
      </c>
      <c r="M38" s="529" t="s">
        <v>1396</v>
      </c>
      <c r="N38" s="530">
        <v>100</v>
      </c>
      <c r="O38" s="530">
        <v>100</v>
      </c>
      <c r="P38" s="530">
        <v>100</v>
      </c>
    </row>
    <row r="39" spans="1:16" ht="15.75">
      <c r="A39" s="795"/>
      <c r="B39" s="794"/>
      <c r="C39" s="795"/>
      <c r="D39" s="795"/>
      <c r="E39" s="796"/>
      <c r="F39" s="792"/>
      <c r="G39" s="793"/>
      <c r="H39" s="792"/>
      <c r="I39" s="793"/>
      <c r="J39" s="794"/>
      <c r="K39" s="791"/>
      <c r="L39" s="791"/>
      <c r="M39" s="529"/>
      <c r="N39" s="530"/>
      <c r="O39" s="530"/>
      <c r="P39" s="530"/>
    </row>
    <row r="40" spans="1:16" ht="51.75" customHeight="1">
      <c r="A40" s="620" t="s">
        <v>892</v>
      </c>
      <c r="B40" s="538" t="s">
        <v>1397</v>
      </c>
      <c r="C40" s="697" t="s">
        <v>23</v>
      </c>
      <c r="D40" s="697" t="s">
        <v>197</v>
      </c>
      <c r="E40" s="703" t="s">
        <v>96</v>
      </c>
      <c r="F40" s="608"/>
      <c r="G40" s="695">
        <v>93</v>
      </c>
      <c r="H40" s="608">
        <f>G40-F40</f>
        <v>93</v>
      </c>
      <c r="I40" s="609" t="e">
        <f>G40/F40*100</f>
        <v>#DIV/0!</v>
      </c>
      <c r="J40" s="610" t="s">
        <v>1398</v>
      </c>
      <c r="K40" s="607"/>
      <c r="L40" s="607"/>
      <c r="M40" s="529"/>
      <c r="N40" s="530"/>
      <c r="O40" s="530"/>
      <c r="P40" s="530"/>
    </row>
    <row r="41" spans="1:16" ht="43.5" customHeight="1">
      <c r="A41" s="620" t="s">
        <v>894</v>
      </c>
      <c r="B41" s="610" t="s">
        <v>308</v>
      </c>
      <c r="C41" s="697" t="s">
        <v>23</v>
      </c>
      <c r="D41" s="697" t="s">
        <v>7</v>
      </c>
      <c r="E41" s="703" t="s">
        <v>96</v>
      </c>
      <c r="F41" s="608">
        <v>0</v>
      </c>
      <c r="G41" s="695"/>
      <c r="H41" s="608">
        <f t="shared" si="0"/>
        <v>0</v>
      </c>
      <c r="I41" s="609" t="e">
        <f t="shared" si="1"/>
        <v>#DIV/0!</v>
      </c>
      <c r="J41" s="610"/>
      <c r="K41" s="607"/>
      <c r="L41" s="607"/>
      <c r="M41" s="529"/>
      <c r="N41" s="530"/>
      <c r="O41" s="530"/>
      <c r="P41" s="530"/>
    </row>
    <row r="42" spans="1:16" ht="31.5">
      <c r="A42" s="528" t="s">
        <v>1399</v>
      </c>
      <c r="B42" s="610" t="s">
        <v>367</v>
      </c>
      <c r="C42" s="697" t="s">
        <v>23</v>
      </c>
      <c r="D42" s="697" t="s">
        <v>8</v>
      </c>
      <c r="E42" s="703" t="s">
        <v>96</v>
      </c>
      <c r="F42" s="608">
        <f>F43</f>
        <v>119.9</v>
      </c>
      <c r="G42" s="695">
        <f>G43</f>
        <v>121.3</v>
      </c>
      <c r="H42" s="608">
        <f t="shared" si="0"/>
        <v>1.3999999999999915</v>
      </c>
      <c r="I42" s="609">
        <f t="shared" si="1"/>
        <v>101.16763969974978</v>
      </c>
      <c r="J42" s="610"/>
      <c r="K42" s="607">
        <v>121.3</v>
      </c>
      <c r="L42" s="607">
        <v>121.3</v>
      </c>
      <c r="M42" s="529"/>
      <c r="N42" s="531"/>
      <c r="O42" s="531"/>
      <c r="P42" s="531"/>
    </row>
    <row r="43" spans="1:16" ht="116.25" customHeight="1">
      <c r="A43" s="528" t="s">
        <v>905</v>
      </c>
      <c r="B43" s="610" t="s">
        <v>127</v>
      </c>
      <c r="C43" s="697" t="s">
        <v>23</v>
      </c>
      <c r="D43" s="697" t="s">
        <v>8</v>
      </c>
      <c r="E43" s="703" t="s">
        <v>96</v>
      </c>
      <c r="F43" s="608">
        <v>119.9</v>
      </c>
      <c r="G43" s="695">
        <v>121.3</v>
      </c>
      <c r="H43" s="608">
        <f t="shared" si="0"/>
        <v>1.3999999999999915</v>
      </c>
      <c r="I43" s="609">
        <f t="shared" si="1"/>
        <v>101.16763969974978</v>
      </c>
      <c r="J43" s="610"/>
      <c r="K43" s="607">
        <v>121.3</v>
      </c>
      <c r="L43" s="607">
        <v>121.3</v>
      </c>
      <c r="M43" s="529"/>
      <c r="N43" s="531"/>
      <c r="O43" s="531"/>
      <c r="P43" s="531"/>
    </row>
    <row r="44" spans="1:16" ht="57" customHeight="1">
      <c r="A44" s="528" t="s">
        <v>42</v>
      </c>
      <c r="B44" s="614" t="s">
        <v>1400</v>
      </c>
      <c r="C44" s="523">
        <v>915</v>
      </c>
      <c r="D44" s="611" t="s">
        <v>8</v>
      </c>
      <c r="E44" s="612" t="s">
        <v>99</v>
      </c>
      <c r="F44" s="536">
        <f>F45</f>
        <v>2233.1999999999998</v>
      </c>
      <c r="G44" s="539">
        <f>G45+G51</f>
        <v>9218.2999999999993</v>
      </c>
      <c r="H44" s="536">
        <f>H45</f>
        <v>5381.9</v>
      </c>
      <c r="I44" s="609">
        <f t="shared" si="1"/>
        <v>412.78434533404982</v>
      </c>
      <c r="J44" s="610"/>
      <c r="K44" s="536">
        <f>K45</f>
        <v>29070</v>
      </c>
      <c r="L44" s="536">
        <f>L45</f>
        <v>8700</v>
      </c>
      <c r="M44" s="537"/>
      <c r="N44" s="537"/>
      <c r="O44" s="531"/>
      <c r="P44" s="531"/>
    </row>
    <row r="45" spans="1:16" ht="57.75" customHeight="1">
      <c r="A45" s="528" t="s">
        <v>370</v>
      </c>
      <c r="B45" s="692" t="s">
        <v>1401</v>
      </c>
      <c r="C45" s="524">
        <v>915</v>
      </c>
      <c r="D45" s="697" t="s">
        <v>8</v>
      </c>
      <c r="E45" s="703" t="s">
        <v>99</v>
      </c>
      <c r="F45" s="536">
        <f>F46+F47+F48+F49+F50</f>
        <v>2233.1999999999998</v>
      </c>
      <c r="G45" s="539">
        <f>G46+G47+G48+G49+G50</f>
        <v>7615.0999999999995</v>
      </c>
      <c r="H45" s="536">
        <f>H46+H47+H48+H49+H50</f>
        <v>5381.9</v>
      </c>
      <c r="I45" s="609">
        <f t="shared" si="1"/>
        <v>340.99498477521047</v>
      </c>
      <c r="J45" s="610"/>
      <c r="K45" s="536">
        <f>K46+K47+K48+K49+K50</f>
        <v>29070</v>
      </c>
      <c r="L45" s="536">
        <f>L46+L47+L48+L49+L50</f>
        <v>8700</v>
      </c>
      <c r="M45" s="537" t="s">
        <v>1402</v>
      </c>
      <c r="N45" s="530">
        <v>3</v>
      </c>
      <c r="O45" s="533">
        <v>3</v>
      </c>
      <c r="P45" s="533">
        <v>2</v>
      </c>
    </row>
    <row r="46" spans="1:16" ht="30.75" customHeight="1">
      <c r="A46" s="528" t="s">
        <v>911</v>
      </c>
      <c r="B46" s="692" t="s">
        <v>399</v>
      </c>
      <c r="C46" s="524">
        <v>915</v>
      </c>
      <c r="D46" s="697" t="s">
        <v>8</v>
      </c>
      <c r="E46" s="703" t="s">
        <v>99</v>
      </c>
      <c r="F46" s="536">
        <v>105.5</v>
      </c>
      <c r="G46" s="539">
        <v>137.69999999999999</v>
      </c>
      <c r="H46" s="608">
        <f>G46-F46</f>
        <v>32.199999999999989</v>
      </c>
      <c r="I46" s="609">
        <f>G46/F46*100</f>
        <v>130.521327014218</v>
      </c>
      <c r="J46" s="610" t="s">
        <v>1403</v>
      </c>
      <c r="K46" s="539">
        <v>0</v>
      </c>
      <c r="L46" s="539">
        <v>0</v>
      </c>
      <c r="M46" s="537"/>
      <c r="N46" s="530"/>
      <c r="O46" s="533"/>
      <c r="P46" s="533"/>
    </row>
    <row r="47" spans="1:16" ht="46.5" customHeight="1">
      <c r="A47" s="528" t="s">
        <v>1404</v>
      </c>
      <c r="B47" s="692" t="s">
        <v>1405</v>
      </c>
      <c r="C47" s="524">
        <v>915</v>
      </c>
      <c r="D47" s="697" t="s">
        <v>8</v>
      </c>
      <c r="E47" s="703" t="s">
        <v>99</v>
      </c>
      <c r="F47" s="536">
        <v>767.7</v>
      </c>
      <c r="G47" s="539">
        <v>600</v>
      </c>
      <c r="H47" s="608">
        <f>G47-F47</f>
        <v>-167.70000000000005</v>
      </c>
      <c r="I47" s="609">
        <f>G47/F47*100</f>
        <v>78.155529503712387</v>
      </c>
      <c r="J47" s="610" t="s">
        <v>1406</v>
      </c>
      <c r="K47" s="539">
        <v>0</v>
      </c>
      <c r="L47" s="539">
        <v>0</v>
      </c>
      <c r="M47" s="537"/>
      <c r="N47" s="530"/>
      <c r="O47" s="533"/>
      <c r="P47" s="533"/>
    </row>
    <row r="48" spans="1:16" ht="178.5" hidden="1" customHeight="1">
      <c r="A48" s="528" t="s">
        <v>1407</v>
      </c>
      <c r="B48" s="610" t="s">
        <v>117</v>
      </c>
      <c r="C48" s="611" t="s">
        <v>23</v>
      </c>
      <c r="D48" s="611" t="s">
        <v>8</v>
      </c>
      <c r="E48" s="612" t="s">
        <v>99</v>
      </c>
      <c r="F48" s="536">
        <v>1360</v>
      </c>
      <c r="G48" s="539">
        <v>0</v>
      </c>
      <c r="H48" s="608">
        <f t="shared" si="0"/>
        <v>-1360</v>
      </c>
      <c r="I48" s="609">
        <f t="shared" si="1"/>
        <v>0</v>
      </c>
      <c r="J48" s="610" t="s">
        <v>1408</v>
      </c>
      <c r="K48" s="539">
        <v>1000</v>
      </c>
      <c r="L48" s="539">
        <v>0</v>
      </c>
      <c r="M48" s="537"/>
      <c r="N48" s="530"/>
      <c r="O48" s="533"/>
      <c r="P48" s="533"/>
    </row>
    <row r="49" spans="1:18" ht="36" customHeight="1">
      <c r="A49" s="528" t="s">
        <v>1409</v>
      </c>
      <c r="B49" s="610" t="s">
        <v>1075</v>
      </c>
      <c r="C49" s="697" t="s">
        <v>23</v>
      </c>
      <c r="D49" s="697" t="s">
        <v>8</v>
      </c>
      <c r="E49" s="703" t="s">
        <v>99</v>
      </c>
      <c r="F49" s="536">
        <v>0</v>
      </c>
      <c r="G49" s="539">
        <f>2797.2+2797.2</f>
        <v>5594.4</v>
      </c>
      <c r="H49" s="608">
        <f>G49-F49</f>
        <v>5594.4</v>
      </c>
      <c r="I49" s="609" t="e">
        <f>G49/F49*100</f>
        <v>#DIV/0!</v>
      </c>
      <c r="J49" s="610" t="s">
        <v>1410</v>
      </c>
      <c r="K49" s="539">
        <v>28000</v>
      </c>
      <c r="L49" s="539">
        <v>8700</v>
      </c>
      <c r="M49" s="537"/>
      <c r="N49" s="530"/>
      <c r="O49" s="533"/>
      <c r="P49" s="533"/>
    </row>
    <row r="50" spans="1:18" ht="30.75" customHeight="1">
      <c r="A50" s="528" t="s">
        <v>1411</v>
      </c>
      <c r="B50" s="610" t="s">
        <v>1412</v>
      </c>
      <c r="C50" s="697" t="s">
        <v>23</v>
      </c>
      <c r="D50" s="697" t="s">
        <v>8</v>
      </c>
      <c r="E50" s="703" t="s">
        <v>99</v>
      </c>
      <c r="F50" s="536">
        <v>0</v>
      </c>
      <c r="G50" s="539">
        <v>1283</v>
      </c>
      <c r="H50" s="608">
        <f>G50-F50</f>
        <v>1283</v>
      </c>
      <c r="I50" s="609" t="e">
        <f>G50/F50*100</f>
        <v>#DIV/0!</v>
      </c>
      <c r="J50" s="610" t="s">
        <v>1413</v>
      </c>
      <c r="K50" s="539">
        <v>70</v>
      </c>
      <c r="L50" s="539">
        <v>0</v>
      </c>
      <c r="M50" s="530"/>
      <c r="N50" s="530"/>
      <c r="O50" s="533"/>
      <c r="P50" s="533"/>
    </row>
    <row r="51" spans="1:18" ht="44.25" customHeight="1">
      <c r="A51" s="528" t="s">
        <v>1621</v>
      </c>
      <c r="B51" s="702" t="s">
        <v>1624</v>
      </c>
      <c r="C51" s="524">
        <v>915</v>
      </c>
      <c r="D51" s="697" t="s">
        <v>8</v>
      </c>
      <c r="E51" s="703" t="s">
        <v>99</v>
      </c>
      <c r="F51" s="536"/>
      <c r="G51" s="539">
        <f>G52</f>
        <v>1603.2</v>
      </c>
      <c r="H51" s="698"/>
      <c r="I51" s="695"/>
      <c r="J51" s="692"/>
      <c r="K51" s="539"/>
      <c r="L51" s="539"/>
      <c r="M51" s="530"/>
      <c r="N51" s="530"/>
      <c r="O51" s="533"/>
      <c r="P51" s="533"/>
    </row>
    <row r="52" spans="1:18" ht="38.25" customHeight="1">
      <c r="A52" s="528" t="s">
        <v>1623</v>
      </c>
      <c r="B52" s="692" t="s">
        <v>1075</v>
      </c>
      <c r="C52" s="697" t="s">
        <v>23</v>
      </c>
      <c r="D52" s="697" t="s">
        <v>8</v>
      </c>
      <c r="E52" s="703" t="s">
        <v>99</v>
      </c>
      <c r="F52" s="536"/>
      <c r="G52" s="539">
        <v>1603.2</v>
      </c>
      <c r="H52" s="698"/>
      <c r="I52" s="695"/>
      <c r="J52" s="692" t="s">
        <v>1622</v>
      </c>
      <c r="K52" s="539">
        <v>0</v>
      </c>
      <c r="L52" s="539">
        <v>0</v>
      </c>
      <c r="M52" s="530"/>
      <c r="N52" s="530"/>
      <c r="O52" s="533"/>
      <c r="P52" s="533"/>
    </row>
    <row r="53" spans="1:18" ht="37.5" customHeight="1">
      <c r="A53" s="528" t="s">
        <v>371</v>
      </c>
      <c r="B53" s="614" t="s">
        <v>1414</v>
      </c>
      <c r="C53" s="611" t="s">
        <v>9</v>
      </c>
      <c r="D53" s="611" t="s">
        <v>30</v>
      </c>
      <c r="E53" s="612" t="s">
        <v>102</v>
      </c>
      <c r="F53" s="536">
        <f>F54</f>
        <v>750</v>
      </c>
      <c r="G53" s="539">
        <f>G54</f>
        <v>1216</v>
      </c>
      <c r="H53" s="608">
        <f t="shared" si="0"/>
        <v>466</v>
      </c>
      <c r="I53" s="609">
        <f t="shared" si="1"/>
        <v>162.13333333333333</v>
      </c>
      <c r="J53" s="610"/>
      <c r="K53" s="536">
        <f>K54</f>
        <v>1155.2</v>
      </c>
      <c r="L53" s="536">
        <f>L54</f>
        <v>1106.5999999999999</v>
      </c>
      <c r="M53" s="537"/>
      <c r="N53" s="537"/>
      <c r="O53" s="531"/>
      <c r="P53" s="531"/>
    </row>
    <row r="54" spans="1:18" ht="105" customHeight="1">
      <c r="A54" s="528" t="s">
        <v>372</v>
      </c>
      <c r="B54" s="610" t="s">
        <v>1415</v>
      </c>
      <c r="C54" s="697" t="s">
        <v>9</v>
      </c>
      <c r="D54" s="697" t="s">
        <v>30</v>
      </c>
      <c r="E54" s="703" t="s">
        <v>102</v>
      </c>
      <c r="F54" s="536">
        <v>750</v>
      </c>
      <c r="G54" s="539">
        <v>1216</v>
      </c>
      <c r="H54" s="608">
        <f t="shared" si="0"/>
        <v>466</v>
      </c>
      <c r="I54" s="609">
        <f t="shared" si="1"/>
        <v>162.13333333333333</v>
      </c>
      <c r="J54" s="610" t="s">
        <v>1416</v>
      </c>
      <c r="K54" s="539">
        <v>1155.2</v>
      </c>
      <c r="L54" s="539">
        <v>1106.5999999999999</v>
      </c>
      <c r="M54" s="537" t="s">
        <v>1417</v>
      </c>
      <c r="N54" s="530">
        <v>3</v>
      </c>
      <c r="O54" s="533">
        <v>3</v>
      </c>
      <c r="P54" s="533">
        <v>3</v>
      </c>
    </row>
    <row r="55" spans="1:18" ht="125.25" customHeight="1">
      <c r="A55" s="528" t="s">
        <v>1418</v>
      </c>
      <c r="B55" s="610" t="s">
        <v>1419</v>
      </c>
      <c r="C55" s="697" t="s">
        <v>9</v>
      </c>
      <c r="D55" s="697" t="s">
        <v>30</v>
      </c>
      <c r="E55" s="703" t="s">
        <v>102</v>
      </c>
      <c r="F55" s="536"/>
      <c r="G55" s="539"/>
      <c r="H55" s="608"/>
      <c r="I55" s="609"/>
      <c r="J55" s="610"/>
      <c r="K55" s="539"/>
      <c r="L55" s="539"/>
      <c r="M55" s="537" t="s">
        <v>1420</v>
      </c>
      <c r="N55" s="530">
        <v>180</v>
      </c>
      <c r="O55" s="533">
        <v>180</v>
      </c>
      <c r="P55" s="533">
        <v>180</v>
      </c>
    </row>
    <row r="56" spans="1:18" ht="69" customHeight="1">
      <c r="A56" s="528" t="s">
        <v>1421</v>
      </c>
      <c r="B56" s="610" t="s">
        <v>1422</v>
      </c>
      <c r="C56" s="697" t="s">
        <v>9</v>
      </c>
      <c r="D56" s="697" t="s">
        <v>30</v>
      </c>
      <c r="E56" s="703" t="s">
        <v>102</v>
      </c>
      <c r="F56" s="536"/>
      <c r="G56" s="539"/>
      <c r="H56" s="608"/>
      <c r="I56" s="609"/>
      <c r="J56" s="610"/>
      <c r="K56" s="539"/>
      <c r="L56" s="539"/>
      <c r="M56" s="537" t="s">
        <v>1423</v>
      </c>
      <c r="N56" s="530">
        <v>19</v>
      </c>
      <c r="O56" s="533">
        <v>19</v>
      </c>
      <c r="P56" s="533">
        <v>19</v>
      </c>
    </row>
    <row r="57" spans="1:18" ht="39.75" customHeight="1">
      <c r="A57" s="528" t="s">
        <v>397</v>
      </c>
      <c r="B57" s="614" t="s">
        <v>1424</v>
      </c>
      <c r="C57" s="523">
        <v>915</v>
      </c>
      <c r="D57" s="611" t="s">
        <v>8</v>
      </c>
      <c r="E57" s="612" t="s">
        <v>102</v>
      </c>
      <c r="F57" s="536">
        <f>F58</f>
        <v>3731</v>
      </c>
      <c r="G57" s="539">
        <f>G58</f>
        <v>3884.1</v>
      </c>
      <c r="H57" s="608">
        <f t="shared" si="0"/>
        <v>153.09999999999991</v>
      </c>
      <c r="I57" s="609">
        <f t="shared" si="1"/>
        <v>104.10345751809167</v>
      </c>
      <c r="J57" s="613"/>
      <c r="K57" s="539">
        <f>K58</f>
        <v>3658.7</v>
      </c>
      <c r="L57" s="539">
        <f>L58</f>
        <v>3504.8</v>
      </c>
      <c r="M57" s="537"/>
      <c r="N57" s="537"/>
      <c r="O57" s="531"/>
      <c r="P57" s="531"/>
    </row>
    <row r="58" spans="1:18" ht="31.5">
      <c r="A58" s="528" t="s">
        <v>1425</v>
      </c>
      <c r="B58" s="610" t="s">
        <v>403</v>
      </c>
      <c r="C58" s="697" t="s">
        <v>23</v>
      </c>
      <c r="D58" s="697" t="s">
        <v>22</v>
      </c>
      <c r="E58" s="703" t="s">
        <v>102</v>
      </c>
      <c r="F58" s="536">
        <f>F59</f>
        <v>3731</v>
      </c>
      <c r="G58" s="539">
        <f>G59</f>
        <v>3884.1</v>
      </c>
      <c r="H58" s="608">
        <f t="shared" si="0"/>
        <v>153.09999999999991</v>
      </c>
      <c r="I58" s="609">
        <f t="shared" si="1"/>
        <v>104.10345751809167</v>
      </c>
      <c r="J58" s="610"/>
      <c r="K58" s="539">
        <f>K59</f>
        <v>3658.7</v>
      </c>
      <c r="L58" s="539">
        <f>L59</f>
        <v>3504.8</v>
      </c>
      <c r="M58" s="537"/>
      <c r="N58" s="537"/>
      <c r="O58" s="531"/>
      <c r="P58" s="531"/>
    </row>
    <row r="59" spans="1:18" ht="34.5" customHeight="1">
      <c r="A59" s="528" t="s">
        <v>1426</v>
      </c>
      <c r="B59" s="610" t="s">
        <v>112</v>
      </c>
      <c r="C59" s="697" t="s">
        <v>23</v>
      </c>
      <c r="D59" s="697" t="s">
        <v>22</v>
      </c>
      <c r="E59" s="703" t="s">
        <v>102</v>
      </c>
      <c r="F59" s="540">
        <v>3731</v>
      </c>
      <c r="G59" s="539">
        <v>3884.1</v>
      </c>
      <c r="H59" s="608">
        <f t="shared" si="0"/>
        <v>153.09999999999991</v>
      </c>
      <c r="I59" s="609">
        <f t="shared" si="1"/>
        <v>104.10345751809167</v>
      </c>
      <c r="J59" s="610"/>
      <c r="K59" s="539">
        <v>3658.7</v>
      </c>
      <c r="L59" s="607">
        <v>3504.8</v>
      </c>
      <c r="M59" s="537"/>
      <c r="N59" s="530"/>
      <c r="O59" s="530"/>
      <c r="P59" s="530"/>
    </row>
    <row r="60" spans="1:18" ht="15.75">
      <c r="A60" s="541"/>
      <c r="B60" s="542"/>
      <c r="C60" s="543"/>
      <c r="D60" s="543"/>
      <c r="E60" s="543"/>
      <c r="F60" s="544"/>
      <c r="G60" s="545"/>
      <c r="H60" s="544"/>
      <c r="I60" s="545"/>
      <c r="J60" s="546"/>
      <c r="K60" s="547"/>
      <c r="L60" s="547"/>
      <c r="M60" s="548"/>
      <c r="N60" s="543"/>
      <c r="O60" s="543"/>
      <c r="P60" s="543"/>
      <c r="Q60" s="541"/>
      <c r="R60" s="541"/>
    </row>
    <row r="61" spans="1:18" ht="15.75">
      <c r="A61" s="541"/>
      <c r="B61" s="549"/>
      <c r="C61" s="543"/>
      <c r="D61" s="543"/>
      <c r="E61" s="543"/>
      <c r="F61" s="544"/>
      <c r="G61" s="545"/>
      <c r="H61" s="544"/>
      <c r="I61" s="545"/>
      <c r="J61" s="546"/>
      <c r="K61" s="547"/>
      <c r="L61" s="547"/>
      <c r="M61" s="548"/>
      <c r="N61" s="543"/>
      <c r="O61" s="543"/>
      <c r="P61" s="543"/>
      <c r="Q61" s="541"/>
      <c r="R61" s="541"/>
    </row>
    <row r="62" spans="1:18" ht="20.25" customHeight="1">
      <c r="A62" s="541"/>
      <c r="B62" s="549"/>
      <c r="C62" s="543"/>
      <c r="D62" s="543"/>
      <c r="E62" s="543"/>
      <c r="F62" s="544"/>
      <c r="G62" s="545"/>
      <c r="H62" s="544"/>
      <c r="I62" s="545"/>
      <c r="J62" s="546"/>
      <c r="K62" s="547"/>
      <c r="L62" s="547"/>
      <c r="M62" s="548"/>
      <c r="N62" s="543"/>
      <c r="O62" s="543"/>
      <c r="P62" s="543"/>
      <c r="Q62" s="541"/>
      <c r="R62" s="541"/>
    </row>
    <row r="63" spans="1:18" ht="23.25" customHeight="1">
      <c r="A63" s="541"/>
      <c r="B63" s="549"/>
      <c r="C63" s="543"/>
      <c r="D63" s="543"/>
      <c r="E63" s="543"/>
      <c r="F63" s="544"/>
      <c r="G63" s="545"/>
      <c r="H63" s="544"/>
      <c r="I63" s="545"/>
      <c r="J63" s="546"/>
      <c r="K63" s="547"/>
      <c r="L63" s="547"/>
      <c r="M63" s="548"/>
      <c r="N63" s="543"/>
      <c r="O63" s="543"/>
      <c r="P63" s="543"/>
      <c r="Q63" s="541"/>
      <c r="R63" s="541"/>
    </row>
    <row r="64" spans="1:18" ht="15.75">
      <c r="A64" s="541"/>
      <c r="B64" s="549"/>
      <c r="C64" s="543"/>
      <c r="D64" s="543"/>
      <c r="E64" s="543"/>
      <c r="F64" s="544"/>
      <c r="G64" s="545"/>
      <c r="H64" s="544"/>
      <c r="I64" s="545"/>
      <c r="J64" s="546"/>
      <c r="K64" s="547"/>
      <c r="L64" s="547"/>
      <c r="M64" s="548"/>
      <c r="N64" s="543"/>
      <c r="O64" s="543"/>
      <c r="P64" s="543"/>
      <c r="Q64" s="541"/>
      <c r="R64" s="541"/>
    </row>
    <row r="65" spans="1:16" ht="17.25">
      <c r="A65" s="550"/>
      <c r="B65" s="551"/>
      <c r="C65" s="552"/>
      <c r="D65" s="552"/>
      <c r="E65" s="552"/>
      <c r="F65" s="553"/>
      <c r="G65" s="554"/>
      <c r="H65" s="553"/>
      <c r="I65" s="554"/>
      <c r="J65" s="555"/>
      <c r="K65" s="556"/>
      <c r="L65" s="556"/>
      <c r="M65" s="557"/>
      <c r="N65" s="552"/>
      <c r="O65" s="552"/>
      <c r="P65" s="552"/>
    </row>
  </sheetData>
  <mergeCells count="34">
    <mergeCell ref="M1:O1"/>
    <mergeCell ref="M2:O2"/>
    <mergeCell ref="B4:P4"/>
    <mergeCell ref="A5:A7"/>
    <mergeCell ref="B5:B7"/>
    <mergeCell ref="C5:E6"/>
    <mergeCell ref="F5:L6"/>
    <mergeCell ref="M5:M7"/>
    <mergeCell ref="N5:P6"/>
    <mergeCell ref="B14:L14"/>
    <mergeCell ref="A19:A21"/>
    <mergeCell ref="B19:B21"/>
    <mergeCell ref="C19:C21"/>
    <mergeCell ref="D19:D21"/>
    <mergeCell ref="E19:E21"/>
    <mergeCell ref="F19:F21"/>
    <mergeCell ref="G19:G21"/>
    <mergeCell ref="H19:H21"/>
    <mergeCell ref="I19:I21"/>
    <mergeCell ref="J19:J21"/>
    <mergeCell ref="K19:K21"/>
    <mergeCell ref="L19:L21"/>
    <mergeCell ref="A38:A39"/>
    <mergeCell ref="B38:B39"/>
    <mergeCell ref="C38:C39"/>
    <mergeCell ref="D38:D39"/>
    <mergeCell ref="E38:E39"/>
    <mergeCell ref="K38:K39"/>
    <mergeCell ref="L38:L39"/>
    <mergeCell ref="F38:F39"/>
    <mergeCell ref="G38:G39"/>
    <mergeCell ref="H38:H39"/>
    <mergeCell ref="I38:I39"/>
    <mergeCell ref="J38:J39"/>
  </mergeCells>
  <pageMargins left="0.51181102362204722" right="0.11811023622047245" top="0.19685039370078741" bottom="0.39370078740157483" header="0.19685039370078741" footer="0.31496062992125984"/>
  <pageSetup paperSize="9" scale="65" fitToHeight="5"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rgb="FF92D050"/>
  </sheetPr>
  <dimension ref="A2:P36"/>
  <sheetViews>
    <sheetView topLeftCell="A22" zoomScale="70" zoomScaleNormal="70" workbookViewId="0">
      <selection activeCell="L43" sqref="L43"/>
    </sheetView>
  </sheetViews>
  <sheetFormatPr defaultColWidth="9.140625" defaultRowHeight="15.75"/>
  <cols>
    <col min="1" max="1" width="7.28515625" style="83" customWidth="1"/>
    <col min="2" max="2" width="47.85546875" style="48" customWidth="1"/>
    <col min="3" max="3" width="9.42578125" style="83" customWidth="1"/>
    <col min="4" max="4" width="12.28515625" style="83" customWidth="1"/>
    <col min="5" max="5" width="16.42578125" style="83" customWidth="1"/>
    <col min="6" max="6" width="10.85546875" style="87" hidden="1" customWidth="1"/>
    <col min="7" max="7" width="11.85546875" style="87" customWidth="1"/>
    <col min="8" max="8" width="10.140625" style="87" hidden="1" customWidth="1"/>
    <col min="9" max="9" width="13.85546875" style="89" hidden="1" customWidth="1"/>
    <col min="10" max="10" width="27.85546875" style="91" hidden="1" customWidth="1"/>
    <col min="11" max="11" width="12.140625" style="89" customWidth="1"/>
    <col min="12" max="12" width="10.85546875" style="89" customWidth="1"/>
    <col min="13" max="13" width="51.28515625" style="48" customWidth="1"/>
    <col min="14" max="15" width="11.42578125" style="83" customWidth="1"/>
    <col min="16" max="16" width="11.7109375" style="83" customWidth="1"/>
    <col min="17" max="16384" width="9.140625" style="80"/>
  </cols>
  <sheetData>
    <row r="2" spans="1:16">
      <c r="B2" s="91"/>
      <c r="M2" s="816" t="s">
        <v>388</v>
      </c>
      <c r="N2" s="816"/>
      <c r="O2" s="816"/>
    </row>
    <row r="3" spans="1:16">
      <c r="B3" s="91"/>
      <c r="M3" s="816" t="s">
        <v>49</v>
      </c>
      <c r="N3" s="816"/>
      <c r="O3" s="816"/>
    </row>
    <row r="4" spans="1:16" ht="42" customHeight="1">
      <c r="B4" s="817" t="s">
        <v>1625</v>
      </c>
      <c r="C4" s="818"/>
      <c r="D4" s="818"/>
      <c r="E4" s="818"/>
      <c r="F4" s="818"/>
      <c r="G4" s="818"/>
      <c r="H4" s="818"/>
      <c r="I4" s="818"/>
      <c r="J4" s="818"/>
      <c r="K4" s="818"/>
      <c r="L4" s="818"/>
      <c r="M4" s="818"/>
      <c r="N4" s="818"/>
      <c r="O4" s="818"/>
    </row>
    <row r="5" spans="1:16">
      <c r="B5" s="91"/>
      <c r="M5" s="91"/>
    </row>
    <row r="6" spans="1:16">
      <c r="A6" s="819" t="s">
        <v>16</v>
      </c>
      <c r="B6" s="820" t="s">
        <v>220</v>
      </c>
      <c r="C6" s="821" t="s">
        <v>0</v>
      </c>
      <c r="D6" s="821"/>
      <c r="E6" s="821"/>
      <c r="F6" s="819" t="s">
        <v>221</v>
      </c>
      <c r="G6" s="819"/>
      <c r="H6" s="819"/>
      <c r="I6" s="819"/>
      <c r="J6" s="819"/>
      <c r="K6" s="819"/>
      <c r="L6" s="819"/>
      <c r="M6" s="820" t="s">
        <v>1</v>
      </c>
      <c r="N6" s="819" t="s">
        <v>2</v>
      </c>
      <c r="O6" s="819"/>
      <c r="P6" s="819"/>
    </row>
    <row r="7" spans="1:16" ht="21" customHeight="1">
      <c r="A7" s="819"/>
      <c r="B7" s="820"/>
      <c r="C7" s="821"/>
      <c r="D7" s="821"/>
      <c r="E7" s="821"/>
      <c r="F7" s="819"/>
      <c r="G7" s="819"/>
      <c r="H7" s="819"/>
      <c r="I7" s="819"/>
      <c r="J7" s="819"/>
      <c r="K7" s="819"/>
      <c r="L7" s="819"/>
      <c r="M7" s="820"/>
      <c r="N7" s="819"/>
      <c r="O7" s="819"/>
      <c r="P7" s="819"/>
    </row>
    <row r="8" spans="1:16" ht="59.25" customHeight="1">
      <c r="A8" s="819"/>
      <c r="B8" s="820"/>
      <c r="C8" s="37" t="s">
        <v>3</v>
      </c>
      <c r="D8" s="37" t="s">
        <v>4</v>
      </c>
      <c r="E8" s="37" t="s">
        <v>5</v>
      </c>
      <c r="F8" s="84" t="s">
        <v>412</v>
      </c>
      <c r="G8" s="84" t="s">
        <v>222</v>
      </c>
      <c r="H8" s="84" t="s">
        <v>6</v>
      </c>
      <c r="I8" s="88" t="s">
        <v>1357</v>
      </c>
      <c r="J8" s="90" t="s">
        <v>17</v>
      </c>
      <c r="K8" s="88" t="s">
        <v>314</v>
      </c>
      <c r="L8" s="88" t="s">
        <v>425</v>
      </c>
      <c r="M8" s="820"/>
      <c r="N8" s="37" t="s">
        <v>223</v>
      </c>
      <c r="O8" s="37" t="s">
        <v>315</v>
      </c>
      <c r="P8" s="37" t="s">
        <v>427</v>
      </c>
    </row>
    <row r="9" spans="1:16" ht="15.75" customHeight="1">
      <c r="A9" s="700">
        <v>1</v>
      </c>
      <c r="B9" s="38">
        <v>2</v>
      </c>
      <c r="C9" s="700">
        <v>3</v>
      </c>
      <c r="D9" s="700">
        <v>4</v>
      </c>
      <c r="E9" s="700">
        <v>5</v>
      </c>
      <c r="F9" s="84">
        <v>6</v>
      </c>
      <c r="G9" s="84">
        <v>7</v>
      </c>
      <c r="H9" s="84" t="s">
        <v>190</v>
      </c>
      <c r="I9" s="88">
        <v>9</v>
      </c>
      <c r="J9" s="90">
        <v>10</v>
      </c>
      <c r="K9" s="88">
        <v>11</v>
      </c>
      <c r="L9" s="88">
        <v>12</v>
      </c>
      <c r="M9" s="38">
        <v>13</v>
      </c>
      <c r="N9" s="700">
        <v>14</v>
      </c>
      <c r="O9" s="700">
        <v>15</v>
      </c>
      <c r="P9" s="700">
        <v>16</v>
      </c>
    </row>
    <row r="10" spans="1:16" s="740" customFormat="1" ht="64.5" customHeight="1">
      <c r="A10" s="76"/>
      <c r="B10" s="709" t="s">
        <v>1626</v>
      </c>
      <c r="C10" s="39"/>
      <c r="D10" s="39"/>
      <c r="E10" s="40" t="s">
        <v>79</v>
      </c>
      <c r="F10" s="52">
        <f>F11+F17</f>
        <v>33860</v>
      </c>
      <c r="G10" s="52">
        <f>G11+G17</f>
        <v>43821.9</v>
      </c>
      <c r="H10" s="52">
        <f>G10-F10</f>
        <v>9961.9000000000015</v>
      </c>
      <c r="I10" s="52">
        <f t="shared" ref="I10:I34" si="0">G10/F10*100</f>
        <v>129.42085056113407</v>
      </c>
      <c r="J10" s="710"/>
      <c r="K10" s="52">
        <f>K11+K17</f>
        <v>41203.599999999999</v>
      </c>
      <c r="L10" s="52">
        <f>L11+L17</f>
        <v>38552.94</v>
      </c>
      <c r="M10" s="44"/>
      <c r="N10" s="38"/>
      <c r="O10" s="38"/>
      <c r="P10" s="38"/>
    </row>
    <row r="11" spans="1:16" ht="45" customHeight="1">
      <c r="A11" s="43">
        <v>1</v>
      </c>
      <c r="B11" s="44" t="s">
        <v>404</v>
      </c>
      <c r="C11" s="39"/>
      <c r="D11" s="39"/>
      <c r="E11" s="40" t="s">
        <v>80</v>
      </c>
      <c r="F11" s="52">
        <f>F12</f>
        <v>13021.3</v>
      </c>
      <c r="G11" s="85">
        <f>G12</f>
        <v>21206.7</v>
      </c>
      <c r="H11" s="86">
        <f t="shared" ref="H11:H17" si="1">G11-F11</f>
        <v>8185.4000000000015</v>
      </c>
      <c r="I11" s="41">
        <f t="shared" si="0"/>
        <v>162.86161903957364</v>
      </c>
      <c r="J11" s="711"/>
      <c r="K11" s="52">
        <f>K12</f>
        <v>19965.8</v>
      </c>
      <c r="L11" s="52">
        <f>L12</f>
        <v>19125.100000000002</v>
      </c>
      <c r="M11" s="712"/>
      <c r="N11" s="812"/>
      <c r="O11" s="812"/>
      <c r="P11" s="812"/>
    </row>
    <row r="12" spans="1:16" ht="36.75" customHeight="1">
      <c r="A12" s="47" t="s">
        <v>191</v>
      </c>
      <c r="B12" s="48" t="s">
        <v>408</v>
      </c>
      <c r="C12" s="92"/>
      <c r="D12" s="92"/>
      <c r="E12" s="708" t="s">
        <v>80</v>
      </c>
      <c r="F12" s="41">
        <f>F13+F14+F15+F16</f>
        <v>13021.3</v>
      </c>
      <c r="G12" s="41">
        <f>G13+G14+G15+G16</f>
        <v>21206.7</v>
      </c>
      <c r="H12" s="86">
        <f t="shared" si="1"/>
        <v>8185.4000000000015</v>
      </c>
      <c r="I12" s="41">
        <f t="shared" si="0"/>
        <v>162.86161903957364</v>
      </c>
      <c r="J12" s="90"/>
      <c r="K12" s="41">
        <f t="shared" ref="K12:L12" si="2">K13+K14+K15+K16</f>
        <v>19965.8</v>
      </c>
      <c r="L12" s="41">
        <f t="shared" si="2"/>
        <v>19125.100000000002</v>
      </c>
      <c r="M12" s="712"/>
      <c r="N12" s="812"/>
      <c r="O12" s="812"/>
      <c r="P12" s="812"/>
    </row>
    <row r="13" spans="1:16" ht="66.75" customHeight="1">
      <c r="A13" s="47" t="s">
        <v>186</v>
      </c>
      <c r="B13" s="42" t="s">
        <v>217</v>
      </c>
      <c r="C13" s="92" t="s">
        <v>23</v>
      </c>
      <c r="D13" s="92" t="s">
        <v>1672</v>
      </c>
      <c r="E13" s="708" t="s">
        <v>80</v>
      </c>
      <c r="F13" s="41">
        <v>9.9</v>
      </c>
      <c r="G13" s="86">
        <v>14.9</v>
      </c>
      <c r="H13" s="86">
        <f t="shared" si="1"/>
        <v>5</v>
      </c>
      <c r="I13" s="41">
        <f t="shared" si="0"/>
        <v>150.50505050505049</v>
      </c>
      <c r="J13" s="711" t="s">
        <v>1627</v>
      </c>
      <c r="K13" s="41">
        <v>14.1</v>
      </c>
      <c r="L13" s="41">
        <v>13.5</v>
      </c>
      <c r="M13" s="712" t="s">
        <v>351</v>
      </c>
      <c r="N13" s="699">
        <v>42</v>
      </c>
      <c r="O13" s="699">
        <v>45</v>
      </c>
      <c r="P13" s="699">
        <v>49</v>
      </c>
    </row>
    <row r="14" spans="1:16" ht="141" customHeight="1">
      <c r="A14" s="47" t="s">
        <v>192</v>
      </c>
      <c r="B14" s="42" t="s">
        <v>400</v>
      </c>
      <c r="C14" s="92" t="s">
        <v>23</v>
      </c>
      <c r="D14" s="92" t="s">
        <v>1672</v>
      </c>
      <c r="E14" s="708" t="s">
        <v>80</v>
      </c>
      <c r="F14" s="86">
        <v>12665.9</v>
      </c>
      <c r="G14" s="41">
        <v>20450.900000000001</v>
      </c>
      <c r="H14" s="86">
        <f t="shared" si="1"/>
        <v>7785.0000000000018</v>
      </c>
      <c r="I14" s="41">
        <f t="shared" si="0"/>
        <v>161.46424652018413</v>
      </c>
      <c r="J14" s="90" t="s">
        <v>1628</v>
      </c>
      <c r="K14" s="41">
        <v>19247.8</v>
      </c>
      <c r="L14" s="41">
        <v>18437.400000000001</v>
      </c>
      <c r="M14" s="712" t="s">
        <v>1629</v>
      </c>
      <c r="N14" s="42" t="s">
        <v>1630</v>
      </c>
      <c r="O14" s="42" t="s">
        <v>1631</v>
      </c>
      <c r="P14" s="42" t="s">
        <v>1632</v>
      </c>
    </row>
    <row r="15" spans="1:16" ht="114.75" customHeight="1">
      <c r="A15" s="47" t="s">
        <v>226</v>
      </c>
      <c r="B15" s="42" t="s">
        <v>1633</v>
      </c>
      <c r="C15" s="92" t="s">
        <v>1673</v>
      </c>
      <c r="D15" s="92" t="s">
        <v>1672</v>
      </c>
      <c r="E15" s="708" t="s">
        <v>80</v>
      </c>
      <c r="F15" s="86">
        <v>345.5</v>
      </c>
      <c r="G15" s="86">
        <v>686.3</v>
      </c>
      <c r="H15" s="86">
        <f t="shared" si="1"/>
        <v>340.79999999999995</v>
      </c>
      <c r="I15" s="41">
        <f t="shared" si="0"/>
        <v>198.63965267727929</v>
      </c>
      <c r="J15" s="90" t="s">
        <v>1634</v>
      </c>
      <c r="K15" s="41">
        <v>652</v>
      </c>
      <c r="L15" s="41">
        <v>624.5</v>
      </c>
      <c r="M15" s="712" t="s">
        <v>1635</v>
      </c>
      <c r="N15" s="699">
        <v>1.2</v>
      </c>
      <c r="O15" s="699">
        <v>1.7</v>
      </c>
      <c r="P15" s="699">
        <v>2.2000000000000002</v>
      </c>
    </row>
    <row r="16" spans="1:16" ht="56.25" customHeight="1">
      <c r="A16" s="47" t="s">
        <v>352</v>
      </c>
      <c r="B16" s="42" t="s">
        <v>1636</v>
      </c>
      <c r="C16" s="92" t="s">
        <v>1673</v>
      </c>
      <c r="D16" s="92" t="s">
        <v>1672</v>
      </c>
      <c r="E16" s="708" t="s">
        <v>80</v>
      </c>
      <c r="F16" s="86">
        <v>0</v>
      </c>
      <c r="G16" s="86">
        <v>54.6</v>
      </c>
      <c r="H16" s="86">
        <f t="shared" si="1"/>
        <v>54.6</v>
      </c>
      <c r="I16" s="41" t="e">
        <f t="shared" si="0"/>
        <v>#DIV/0!</v>
      </c>
      <c r="J16" s="42" t="s">
        <v>1636</v>
      </c>
      <c r="K16" s="41">
        <v>51.9</v>
      </c>
      <c r="L16" s="41">
        <v>49.7</v>
      </c>
      <c r="M16" s="712" t="s">
        <v>351</v>
      </c>
      <c r="N16" s="713">
        <v>42</v>
      </c>
      <c r="O16" s="713">
        <v>45</v>
      </c>
      <c r="P16" s="713">
        <v>49</v>
      </c>
    </row>
    <row r="17" spans="1:16">
      <c r="A17" s="37" t="s">
        <v>46</v>
      </c>
      <c r="B17" s="44" t="s">
        <v>405</v>
      </c>
      <c r="C17" s="39"/>
      <c r="D17" s="45"/>
      <c r="E17" s="40" t="s">
        <v>83</v>
      </c>
      <c r="F17" s="52">
        <f>F18+F20+F27+F30</f>
        <v>20838.7</v>
      </c>
      <c r="G17" s="52">
        <f>G18+G20+G27+G30</f>
        <v>22615.200000000001</v>
      </c>
      <c r="H17" s="86">
        <f t="shared" si="1"/>
        <v>1776.5</v>
      </c>
      <c r="I17" s="41">
        <f t="shared" si="0"/>
        <v>108.52500395898016</v>
      </c>
      <c r="J17" s="711"/>
      <c r="K17" s="52">
        <f>K18+K20+K27+K30</f>
        <v>21237.8</v>
      </c>
      <c r="L17" s="52">
        <f>L18+L20+L27+L30</f>
        <v>19427.84</v>
      </c>
      <c r="M17" s="714"/>
      <c r="N17" s="46"/>
      <c r="O17" s="46"/>
      <c r="P17" s="46"/>
    </row>
    <row r="18" spans="1:16" ht="54.75" customHeight="1">
      <c r="A18" s="47" t="s">
        <v>195</v>
      </c>
      <c r="B18" s="42" t="s">
        <v>409</v>
      </c>
      <c r="C18" s="92"/>
      <c r="D18" s="92"/>
      <c r="E18" s="708" t="s">
        <v>83</v>
      </c>
      <c r="F18" s="86">
        <f>F19</f>
        <v>3.9</v>
      </c>
      <c r="G18" s="86">
        <f>G19</f>
        <v>3.9</v>
      </c>
      <c r="H18" s="41">
        <f>H19+H26</f>
        <v>0</v>
      </c>
      <c r="I18" s="41">
        <f t="shared" si="0"/>
        <v>100</v>
      </c>
      <c r="J18" s="90"/>
      <c r="K18" s="715">
        <f>K19</f>
        <v>3.7</v>
      </c>
      <c r="L18" s="715">
        <f>L19</f>
        <v>3.54</v>
      </c>
      <c r="M18" s="42"/>
      <c r="N18" s="46"/>
      <c r="O18" s="46"/>
      <c r="P18" s="46"/>
    </row>
    <row r="19" spans="1:16" ht="69" customHeight="1">
      <c r="A19" s="47" t="s">
        <v>196</v>
      </c>
      <c r="B19" s="42" t="s">
        <v>218</v>
      </c>
      <c r="C19" s="92" t="s">
        <v>23</v>
      </c>
      <c r="D19" s="92" t="s">
        <v>1672</v>
      </c>
      <c r="E19" s="708" t="s">
        <v>83</v>
      </c>
      <c r="F19" s="86">
        <v>3.9</v>
      </c>
      <c r="G19" s="86">
        <v>3.9</v>
      </c>
      <c r="H19" s="86">
        <f t="shared" ref="H19:H26" si="3">G19-F19</f>
        <v>0</v>
      </c>
      <c r="I19" s="41">
        <f t="shared" si="0"/>
        <v>100</v>
      </c>
      <c r="K19" s="41">
        <v>3.7</v>
      </c>
      <c r="L19" s="41">
        <v>3.54</v>
      </c>
      <c r="M19" s="42" t="s">
        <v>1637</v>
      </c>
      <c r="N19" s="46">
        <v>80</v>
      </c>
      <c r="O19" s="46">
        <v>81</v>
      </c>
      <c r="P19" s="46">
        <v>82</v>
      </c>
    </row>
    <row r="20" spans="1:16" ht="27" customHeight="1">
      <c r="A20" s="47" t="s">
        <v>239</v>
      </c>
      <c r="B20" s="42" t="s">
        <v>1638</v>
      </c>
      <c r="C20" s="92"/>
      <c r="D20" s="92"/>
      <c r="E20" s="708" t="s">
        <v>83</v>
      </c>
      <c r="F20" s="41">
        <f>F21+F22+F23+F24+F25</f>
        <v>1442.7</v>
      </c>
      <c r="G20" s="41">
        <f t="shared" ref="G20:L20" si="4">G21+G22+G23+G24+G25</f>
        <v>1882.1</v>
      </c>
      <c r="H20" s="41">
        <f t="shared" si="4"/>
        <v>439.4</v>
      </c>
      <c r="I20" s="41" t="e">
        <f t="shared" si="4"/>
        <v>#DIV/0!</v>
      </c>
      <c r="J20" s="619"/>
      <c r="K20" s="41">
        <f t="shared" si="4"/>
        <v>1788</v>
      </c>
      <c r="L20" s="41">
        <f t="shared" si="4"/>
        <v>1712.7</v>
      </c>
      <c r="M20" s="42"/>
      <c r="N20" s="46"/>
      <c r="O20" s="46"/>
      <c r="P20" s="46"/>
    </row>
    <row r="21" spans="1:16" ht="57.75" customHeight="1">
      <c r="A21" s="734" t="s">
        <v>410</v>
      </c>
      <c r="B21" s="42" t="s">
        <v>1639</v>
      </c>
      <c r="C21" s="92" t="s">
        <v>1673</v>
      </c>
      <c r="D21" s="735">
        <v>1101</v>
      </c>
      <c r="E21" s="46" t="s">
        <v>83</v>
      </c>
      <c r="F21" s="41">
        <v>270</v>
      </c>
      <c r="G21" s="41">
        <v>708</v>
      </c>
      <c r="H21" s="41">
        <f>G21-F21</f>
        <v>438</v>
      </c>
      <c r="I21" s="41">
        <f t="shared" ref="I21:I29" si="5">G21/F21*100</f>
        <v>262.22222222222223</v>
      </c>
      <c r="J21" s="711" t="s">
        <v>1640</v>
      </c>
      <c r="K21" s="41">
        <v>672.6</v>
      </c>
      <c r="L21" s="41">
        <v>644.29999999999995</v>
      </c>
      <c r="M21" s="808" t="s">
        <v>1637</v>
      </c>
      <c r="N21" s="810">
        <v>80</v>
      </c>
      <c r="O21" s="810">
        <v>81</v>
      </c>
      <c r="P21" s="810">
        <v>82</v>
      </c>
    </row>
    <row r="22" spans="1:16" ht="46.5" customHeight="1">
      <c r="A22" s="736" t="s">
        <v>1641</v>
      </c>
      <c r="B22" s="48" t="s">
        <v>1642</v>
      </c>
      <c r="C22" s="92" t="s">
        <v>23</v>
      </c>
      <c r="D22" s="716">
        <v>1101</v>
      </c>
      <c r="E22" s="716" t="s">
        <v>83</v>
      </c>
      <c r="F22" s="41">
        <v>63</v>
      </c>
      <c r="G22" s="41">
        <v>170</v>
      </c>
      <c r="H22" s="86">
        <f>G22-F22</f>
        <v>107</v>
      </c>
      <c r="I22" s="41">
        <f t="shared" si="5"/>
        <v>269.84126984126988</v>
      </c>
      <c r="J22" s="90" t="s">
        <v>1643</v>
      </c>
      <c r="K22" s="41">
        <v>161.5</v>
      </c>
      <c r="L22" s="41">
        <v>154.69999999999999</v>
      </c>
      <c r="M22" s="813"/>
      <c r="N22" s="815"/>
      <c r="O22" s="815"/>
      <c r="P22" s="815"/>
    </row>
    <row r="23" spans="1:16" ht="57" customHeight="1">
      <c r="A23" s="736" t="s">
        <v>1644</v>
      </c>
      <c r="B23" s="717" t="s">
        <v>1645</v>
      </c>
      <c r="C23" s="92" t="s">
        <v>1673</v>
      </c>
      <c r="D23" s="716">
        <v>1101</v>
      </c>
      <c r="E23" s="716" t="s">
        <v>83</v>
      </c>
      <c r="F23" s="718">
        <v>274.10000000000002</v>
      </c>
      <c r="G23" s="718">
        <v>600</v>
      </c>
      <c r="H23" s="86">
        <f>G23-F23</f>
        <v>325.89999999999998</v>
      </c>
      <c r="I23" s="41">
        <f t="shared" si="5"/>
        <v>218.89821233126594</v>
      </c>
      <c r="J23" s="711" t="s">
        <v>1646</v>
      </c>
      <c r="K23" s="719">
        <v>475</v>
      </c>
      <c r="L23" s="719">
        <v>455</v>
      </c>
      <c r="M23" s="813"/>
      <c r="N23" s="815"/>
      <c r="O23" s="815"/>
      <c r="P23" s="815"/>
    </row>
    <row r="24" spans="1:16" ht="162" hidden="1" customHeight="1">
      <c r="A24" s="47" t="s">
        <v>1647</v>
      </c>
      <c r="B24" s="42" t="s">
        <v>1648</v>
      </c>
      <c r="C24" s="92"/>
      <c r="D24" s="716"/>
      <c r="E24" s="716" t="s">
        <v>83</v>
      </c>
      <c r="F24" s="718">
        <v>0</v>
      </c>
      <c r="G24" s="718">
        <v>0</v>
      </c>
      <c r="H24" s="86">
        <f>G24-F24</f>
        <v>0</v>
      </c>
      <c r="I24" s="41" t="e">
        <f t="shared" si="5"/>
        <v>#DIV/0!</v>
      </c>
      <c r="J24" s="711" t="s">
        <v>1649</v>
      </c>
      <c r="K24" s="719">
        <v>95</v>
      </c>
      <c r="L24" s="719">
        <v>91</v>
      </c>
      <c r="M24" s="813"/>
      <c r="N24" s="815"/>
      <c r="O24" s="815"/>
      <c r="P24" s="815"/>
    </row>
    <row r="25" spans="1:16" s="81" customFormat="1" ht="46.5" customHeight="1">
      <c r="A25" s="736" t="s">
        <v>1650</v>
      </c>
      <c r="B25" s="717" t="s">
        <v>375</v>
      </c>
      <c r="C25" s="92" t="s">
        <v>1673</v>
      </c>
      <c r="D25" s="46">
        <v>1101</v>
      </c>
      <c r="E25" s="46" t="s">
        <v>83</v>
      </c>
      <c r="F25" s="718">
        <v>835.6</v>
      </c>
      <c r="G25" s="86">
        <v>404.1</v>
      </c>
      <c r="H25" s="86">
        <f>G25-F25</f>
        <v>-431.5</v>
      </c>
      <c r="I25" s="41">
        <f t="shared" si="5"/>
        <v>48.36045955002394</v>
      </c>
      <c r="J25" s="711" t="s">
        <v>375</v>
      </c>
      <c r="K25" s="41">
        <v>383.9</v>
      </c>
      <c r="L25" s="41">
        <v>367.7</v>
      </c>
      <c r="M25" s="814"/>
      <c r="N25" s="811"/>
      <c r="O25" s="811"/>
      <c r="P25" s="811"/>
    </row>
    <row r="26" spans="1:16" ht="63" hidden="1">
      <c r="A26" s="47" t="s">
        <v>238</v>
      </c>
      <c r="B26" s="42" t="s">
        <v>353</v>
      </c>
      <c r="C26" s="92"/>
      <c r="D26" s="92"/>
      <c r="E26" s="708" t="s">
        <v>83</v>
      </c>
      <c r="F26" s="41">
        <v>0</v>
      </c>
      <c r="G26" s="41">
        <v>0</v>
      </c>
      <c r="H26" s="41">
        <f t="shared" si="3"/>
        <v>0</v>
      </c>
      <c r="I26" s="41" t="e">
        <f t="shared" si="5"/>
        <v>#DIV/0!</v>
      </c>
      <c r="J26" s="711" t="s">
        <v>375</v>
      </c>
      <c r="K26" s="41">
        <v>0</v>
      </c>
      <c r="L26" s="41">
        <v>0</v>
      </c>
      <c r="M26" s="712"/>
      <c r="N26" s="699"/>
      <c r="O26" s="699"/>
      <c r="P26" s="42"/>
    </row>
    <row r="27" spans="1:16" s="81" customFormat="1" ht="51.75" customHeight="1">
      <c r="A27" s="737" t="s">
        <v>287</v>
      </c>
      <c r="B27" s="44" t="s">
        <v>406</v>
      </c>
      <c r="C27" s="92"/>
      <c r="D27" s="46"/>
      <c r="E27" s="46" t="s">
        <v>83</v>
      </c>
      <c r="F27" s="52">
        <f>F28+F29</f>
        <v>17573.2</v>
      </c>
      <c r="G27" s="52">
        <f>G28+G29</f>
        <v>18364.400000000001</v>
      </c>
      <c r="H27" s="86">
        <f>G27-F27</f>
        <v>791.20000000000073</v>
      </c>
      <c r="I27" s="41">
        <f t="shared" si="5"/>
        <v>104.50231033619374</v>
      </c>
      <c r="J27" s="90"/>
      <c r="K27" s="52">
        <f t="shared" ref="K27:L27" si="6">K28+K29</f>
        <v>17446.099999999999</v>
      </c>
      <c r="L27" s="52">
        <f t="shared" si="6"/>
        <v>16711.599999999999</v>
      </c>
      <c r="M27" s="42"/>
      <c r="N27" s="49"/>
      <c r="O27" s="49"/>
      <c r="P27" s="49"/>
    </row>
    <row r="28" spans="1:16" s="82" customFormat="1" ht="67.5" customHeight="1">
      <c r="A28" s="730" t="s">
        <v>1651</v>
      </c>
      <c r="B28" s="42" t="s">
        <v>309</v>
      </c>
      <c r="C28" s="92" t="s">
        <v>1673</v>
      </c>
      <c r="D28" s="46">
        <v>703</v>
      </c>
      <c r="E28" s="46" t="s">
        <v>83</v>
      </c>
      <c r="F28" s="720">
        <v>14406.5</v>
      </c>
      <c r="G28" s="86">
        <v>13755.3</v>
      </c>
      <c r="H28" s="86">
        <f>G28-F28</f>
        <v>-651.20000000000073</v>
      </c>
      <c r="I28" s="41">
        <f t="shared" si="5"/>
        <v>95.479818137646205</v>
      </c>
      <c r="J28" s="90" t="s">
        <v>1652</v>
      </c>
      <c r="K28" s="41">
        <v>13067.5</v>
      </c>
      <c r="L28" s="41">
        <v>12517.3</v>
      </c>
      <c r="M28" s="42" t="s">
        <v>354</v>
      </c>
      <c r="N28" s="46">
        <v>73.400000000000006</v>
      </c>
      <c r="O28" s="46">
        <v>80</v>
      </c>
      <c r="P28" s="46">
        <v>82</v>
      </c>
    </row>
    <row r="29" spans="1:16" ht="46.5" customHeight="1">
      <c r="A29" s="738" t="s">
        <v>1653</v>
      </c>
      <c r="B29" s="529" t="s">
        <v>1654</v>
      </c>
      <c r="C29" s="721" t="s">
        <v>1673</v>
      </c>
      <c r="D29" s="722">
        <v>1101</v>
      </c>
      <c r="E29" s="533" t="s">
        <v>83</v>
      </c>
      <c r="F29" s="723">
        <v>3166.7</v>
      </c>
      <c r="G29" s="723">
        <v>4609.1000000000004</v>
      </c>
      <c r="H29" s="723">
        <f>G29-F29</f>
        <v>1442.4000000000005</v>
      </c>
      <c r="I29" s="723">
        <f t="shared" si="5"/>
        <v>145.5489942211135</v>
      </c>
      <c r="J29" s="724" t="s">
        <v>1655</v>
      </c>
      <c r="K29" s="723">
        <v>4378.6000000000004</v>
      </c>
      <c r="L29" s="723">
        <v>4194.3</v>
      </c>
      <c r="M29" s="529"/>
      <c r="N29" s="741"/>
      <c r="O29" s="741"/>
      <c r="P29" s="741"/>
    </row>
    <row r="30" spans="1:16" s="729" customFormat="1" ht="50.25" customHeight="1">
      <c r="A30" s="739" t="s">
        <v>1656</v>
      </c>
      <c r="B30" s="725" t="s">
        <v>407</v>
      </c>
      <c r="C30" s="721"/>
      <c r="D30" s="533"/>
      <c r="E30" s="533" t="s">
        <v>83</v>
      </c>
      <c r="F30" s="726">
        <f>F31+F32+F33+F34+F35</f>
        <v>1818.9</v>
      </c>
      <c r="G30" s="726">
        <f>G31+G32+G33+G34+G35+G36</f>
        <v>2364.8000000000002</v>
      </c>
      <c r="H30" s="727">
        <f t="shared" ref="H30:H35" si="7">G30-F30</f>
        <v>545.90000000000009</v>
      </c>
      <c r="I30" s="723">
        <f t="shared" si="0"/>
        <v>130.01264500522294</v>
      </c>
      <c r="J30" s="537"/>
      <c r="K30" s="726">
        <f>K31+K32+K33+K34+K35</f>
        <v>2000</v>
      </c>
      <c r="L30" s="726">
        <f>L31+L32+L33+L34+L35</f>
        <v>1000</v>
      </c>
      <c r="M30" s="728"/>
      <c r="N30" s="530"/>
      <c r="O30" s="530"/>
      <c r="P30" s="529"/>
    </row>
    <row r="31" spans="1:16" s="729" customFormat="1" ht="68.25" hidden="1" customHeight="1">
      <c r="A31" s="738" t="s">
        <v>1657</v>
      </c>
      <c r="B31" s="529" t="s">
        <v>1658</v>
      </c>
      <c r="C31" s="92"/>
      <c r="D31" s="46"/>
      <c r="E31" s="46" t="s">
        <v>83</v>
      </c>
      <c r="F31" s="42">
        <v>145.5</v>
      </c>
      <c r="G31" s="699">
        <v>0</v>
      </c>
      <c r="H31" s="86">
        <f t="shared" si="7"/>
        <v>-145.5</v>
      </c>
      <c r="I31" s="25">
        <f t="shared" si="0"/>
        <v>0</v>
      </c>
      <c r="J31" s="90"/>
      <c r="K31" s="41">
        <v>0</v>
      </c>
      <c r="L31" s="41">
        <v>0</v>
      </c>
      <c r="M31" s="728"/>
      <c r="N31" s="530"/>
      <c r="O31" s="530"/>
      <c r="P31" s="529"/>
    </row>
    <row r="32" spans="1:16" ht="114" hidden="1" customHeight="1">
      <c r="A32" s="730" t="s">
        <v>1659</v>
      </c>
      <c r="B32" s="42" t="s">
        <v>117</v>
      </c>
      <c r="C32" s="92"/>
      <c r="D32" s="46"/>
      <c r="E32" s="46" t="s">
        <v>83</v>
      </c>
      <c r="F32" s="42">
        <v>845.4</v>
      </c>
      <c r="G32" s="699">
        <v>0</v>
      </c>
      <c r="H32" s="86">
        <f t="shared" si="7"/>
        <v>-845.4</v>
      </c>
      <c r="I32" s="25">
        <f t="shared" si="0"/>
        <v>0</v>
      </c>
      <c r="J32" s="90"/>
      <c r="K32" s="41">
        <v>0</v>
      </c>
      <c r="L32" s="41">
        <v>0</v>
      </c>
      <c r="M32" s="712"/>
      <c r="N32" s="699"/>
      <c r="O32" s="699"/>
      <c r="P32" s="42"/>
    </row>
    <row r="33" spans="1:16" ht="62.25" customHeight="1">
      <c r="A33" s="730" t="s">
        <v>1660</v>
      </c>
      <c r="B33" s="42" t="s">
        <v>1661</v>
      </c>
      <c r="C33" s="708" t="s">
        <v>1673</v>
      </c>
      <c r="D33" s="708" t="s">
        <v>1672</v>
      </c>
      <c r="E33" s="699" t="s">
        <v>83</v>
      </c>
      <c r="F33" s="731">
        <v>80</v>
      </c>
      <c r="G33" s="732">
        <v>40</v>
      </c>
      <c r="H33" s="41">
        <f t="shared" si="7"/>
        <v>-40</v>
      </c>
      <c r="I33" s="25">
        <f t="shared" si="0"/>
        <v>50</v>
      </c>
      <c r="J33" s="42" t="s">
        <v>1662</v>
      </c>
      <c r="K33" s="732">
        <v>0</v>
      </c>
      <c r="L33" s="732">
        <v>0</v>
      </c>
      <c r="M33" s="808" t="s">
        <v>1663</v>
      </c>
      <c r="N33" s="810">
        <v>55.4</v>
      </c>
      <c r="O33" s="810">
        <v>56.6</v>
      </c>
      <c r="P33" s="810">
        <v>57.6</v>
      </c>
    </row>
    <row r="34" spans="1:16" ht="87" customHeight="1">
      <c r="A34" s="45" t="s">
        <v>1664</v>
      </c>
      <c r="B34" s="42" t="s">
        <v>1665</v>
      </c>
      <c r="C34" s="708" t="s">
        <v>1673</v>
      </c>
      <c r="D34" s="708" t="s">
        <v>1672</v>
      </c>
      <c r="E34" s="699" t="s">
        <v>83</v>
      </c>
      <c r="F34" s="731">
        <v>748</v>
      </c>
      <c r="G34" s="732">
        <v>1090.3</v>
      </c>
      <c r="H34" s="41">
        <f t="shared" si="7"/>
        <v>342.29999999999995</v>
      </c>
      <c r="I34" s="25">
        <f t="shared" si="0"/>
        <v>145.76203208556149</v>
      </c>
      <c r="J34" s="42" t="s">
        <v>1666</v>
      </c>
      <c r="K34" s="732">
        <v>2000</v>
      </c>
      <c r="L34" s="732">
        <v>1000</v>
      </c>
      <c r="M34" s="809"/>
      <c r="N34" s="811"/>
      <c r="O34" s="811"/>
      <c r="P34" s="811"/>
    </row>
    <row r="35" spans="1:16" ht="40.5" customHeight="1">
      <c r="A35" s="45" t="s">
        <v>1667</v>
      </c>
      <c r="B35" s="42" t="s">
        <v>1075</v>
      </c>
      <c r="C35" s="708"/>
      <c r="D35" s="708"/>
      <c r="E35" s="699" t="s">
        <v>83</v>
      </c>
      <c r="F35" s="733">
        <v>0</v>
      </c>
      <c r="G35" s="41">
        <f>613.5+613.5</f>
        <v>1227</v>
      </c>
      <c r="H35" s="41">
        <f t="shared" si="7"/>
        <v>1227</v>
      </c>
      <c r="I35" s="25" t="e">
        <f>G35/F35*100</f>
        <v>#DIV/0!</v>
      </c>
      <c r="J35" s="90" t="s">
        <v>1668</v>
      </c>
      <c r="K35" s="41">
        <v>0</v>
      </c>
      <c r="L35" s="41">
        <v>0</v>
      </c>
      <c r="M35" s="42" t="s">
        <v>1669</v>
      </c>
      <c r="N35" s="45">
        <v>80</v>
      </c>
      <c r="O35" s="45">
        <v>80</v>
      </c>
      <c r="P35" s="45">
        <v>80</v>
      </c>
    </row>
    <row r="36" spans="1:16" ht="31.5">
      <c r="A36" s="45" t="s">
        <v>1670</v>
      </c>
      <c r="B36" s="42" t="s">
        <v>1671</v>
      </c>
      <c r="C36" s="46">
        <v>911</v>
      </c>
      <c r="D36" s="46">
        <v>1101</v>
      </c>
      <c r="E36" s="699" t="s">
        <v>83</v>
      </c>
      <c r="F36" s="86"/>
      <c r="G36" s="86">
        <v>7.5</v>
      </c>
      <c r="H36" s="86"/>
      <c r="I36" s="41"/>
      <c r="J36" s="90"/>
      <c r="K36" s="41">
        <v>0</v>
      </c>
      <c r="L36" s="41">
        <v>0</v>
      </c>
      <c r="M36" s="42"/>
      <c r="N36" s="45"/>
      <c r="O36" s="45"/>
      <c r="P36" s="45"/>
    </row>
  </sheetData>
  <mergeCells count="20">
    <mergeCell ref="M2:O2"/>
    <mergeCell ref="M3:O3"/>
    <mergeCell ref="B4:O4"/>
    <mergeCell ref="A6:A8"/>
    <mergeCell ref="B6:B8"/>
    <mergeCell ref="C6:E7"/>
    <mergeCell ref="F6:L7"/>
    <mergeCell ref="M6:M8"/>
    <mergeCell ref="N6:P7"/>
    <mergeCell ref="M33:M34"/>
    <mergeCell ref="N33:N34"/>
    <mergeCell ref="O33:O34"/>
    <mergeCell ref="P33:P34"/>
    <mergeCell ref="N11:N12"/>
    <mergeCell ref="O11:O12"/>
    <mergeCell ref="P11:P12"/>
    <mergeCell ref="M21:M25"/>
    <mergeCell ref="N21:N25"/>
    <mergeCell ref="O21:O25"/>
    <mergeCell ref="P21:P25"/>
  </mergeCells>
  <pageMargins left="0.11811023622047245" right="0.11811023622047245" top="0.19685039370078741" bottom="0.3937007874015748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sheetPr>
    <tabColor rgb="FF92D050"/>
  </sheetPr>
  <dimension ref="A1:BC79"/>
  <sheetViews>
    <sheetView view="pageBreakPreview" topLeftCell="A37" zoomScale="60" zoomScaleNormal="80" workbookViewId="0">
      <selection activeCell="E52" sqref="E52"/>
    </sheetView>
  </sheetViews>
  <sheetFormatPr defaultColWidth="9.140625" defaultRowHeight="15"/>
  <cols>
    <col min="1" max="1" width="4.28515625" style="20" customWidth="1"/>
    <col min="2" max="2" width="46" style="20" customWidth="1"/>
    <col min="3" max="4" width="9.42578125" style="20" customWidth="1"/>
    <col min="5" max="5" width="14.28515625" style="20" customWidth="1"/>
    <col min="6" max="7" width="12.140625" style="20" customWidth="1"/>
    <col min="8" max="8" width="10.85546875" style="20" customWidth="1"/>
    <col min="9" max="9" width="48.28515625" style="20" customWidth="1"/>
    <col min="10" max="10" width="15.42578125" style="20" customWidth="1"/>
    <col min="11" max="11" width="17.28515625" style="20" customWidth="1"/>
    <col min="12" max="12" width="16.140625" style="20" customWidth="1"/>
    <col min="13" max="16384" width="9.140625" style="20"/>
  </cols>
  <sheetData>
    <row r="1" spans="1:12" ht="18.75">
      <c r="A1" s="11"/>
      <c r="B1" s="9"/>
      <c r="C1" s="11"/>
      <c r="D1" s="11"/>
      <c r="E1" s="11"/>
      <c r="F1" s="11"/>
      <c r="G1" s="11"/>
      <c r="H1" s="11"/>
      <c r="I1" s="9"/>
      <c r="J1" s="8" t="s">
        <v>313</v>
      </c>
      <c r="K1" s="8"/>
      <c r="L1" s="8"/>
    </row>
    <row r="2" spans="1:12" ht="18.75">
      <c r="A2" s="11"/>
      <c r="B2" s="9"/>
      <c r="C2" s="11"/>
      <c r="D2" s="11"/>
      <c r="E2" s="11"/>
      <c r="F2" s="11"/>
      <c r="G2" s="11"/>
      <c r="H2" s="11"/>
      <c r="I2" s="9"/>
      <c r="J2" s="8" t="s">
        <v>49</v>
      </c>
      <c r="K2" s="8"/>
      <c r="L2" s="8"/>
    </row>
    <row r="3" spans="1:12" ht="18.75">
      <c r="A3" s="11"/>
      <c r="B3" s="9"/>
      <c r="C3" s="11"/>
      <c r="D3" s="11"/>
      <c r="E3" s="11"/>
      <c r="F3" s="11"/>
      <c r="G3" s="11"/>
      <c r="H3" s="11"/>
      <c r="I3" s="9"/>
      <c r="J3" s="8"/>
      <c r="K3" s="8"/>
      <c r="L3" s="8"/>
    </row>
    <row r="4" spans="1:12" ht="18.75">
      <c r="A4" s="11"/>
      <c r="B4" s="10" t="s">
        <v>941</v>
      </c>
      <c r="C4" s="11"/>
      <c r="D4" s="11"/>
      <c r="E4" s="11"/>
      <c r="F4" s="11"/>
      <c r="G4" s="11"/>
      <c r="H4" s="11"/>
      <c r="I4" s="9"/>
      <c r="J4" s="8"/>
      <c r="K4" s="8"/>
      <c r="L4" s="8"/>
    </row>
    <row r="5" spans="1:12" ht="0.75" customHeight="1">
      <c r="A5" s="11"/>
      <c r="B5" s="9"/>
      <c r="C5" s="11"/>
      <c r="D5" s="11"/>
      <c r="E5" s="11"/>
      <c r="F5" s="11"/>
      <c r="G5" s="11"/>
      <c r="H5" s="11"/>
      <c r="I5" s="9"/>
      <c r="J5" s="36"/>
      <c r="K5" s="36"/>
      <c r="L5" s="36"/>
    </row>
    <row r="6" spans="1:12" ht="18.75">
      <c r="A6" s="11"/>
      <c r="B6" s="9"/>
      <c r="C6" s="11"/>
      <c r="D6" s="11"/>
      <c r="E6" s="11"/>
      <c r="F6" s="11"/>
      <c r="G6" s="11"/>
      <c r="H6" s="11"/>
      <c r="I6" s="9"/>
      <c r="J6" s="36"/>
      <c r="K6" s="36"/>
      <c r="L6" s="36"/>
    </row>
    <row r="7" spans="1:12" ht="15" customHeight="1">
      <c r="A7" s="822" t="s">
        <v>16</v>
      </c>
      <c r="B7" s="823" t="s">
        <v>220</v>
      </c>
      <c r="C7" s="824" t="s">
        <v>0</v>
      </c>
      <c r="D7" s="824"/>
      <c r="E7" s="824"/>
      <c r="F7" s="119" t="s">
        <v>221</v>
      </c>
      <c r="G7" s="120"/>
      <c r="H7" s="121"/>
      <c r="I7" s="825" t="s">
        <v>1</v>
      </c>
      <c r="J7" s="826" t="s">
        <v>2</v>
      </c>
      <c r="K7" s="826"/>
      <c r="L7" s="826"/>
    </row>
    <row r="8" spans="1:12" ht="21" customHeight="1">
      <c r="A8" s="822"/>
      <c r="B8" s="823"/>
      <c r="C8" s="824"/>
      <c r="D8" s="824"/>
      <c r="E8" s="824"/>
      <c r="F8" s="122"/>
      <c r="G8" s="122"/>
      <c r="H8" s="123"/>
      <c r="I8" s="825"/>
      <c r="J8" s="826"/>
      <c r="K8" s="826"/>
      <c r="L8" s="826"/>
    </row>
    <row r="9" spans="1:12" ht="59.25" customHeight="1">
      <c r="A9" s="822"/>
      <c r="B9" s="823"/>
      <c r="C9" s="642" t="s">
        <v>3</v>
      </c>
      <c r="D9" s="642" t="s">
        <v>4</v>
      </c>
      <c r="E9" s="642" t="s">
        <v>5</v>
      </c>
      <c r="F9" s="22" t="s">
        <v>222</v>
      </c>
      <c r="G9" s="641" t="s">
        <v>314</v>
      </c>
      <c r="H9" s="641" t="s">
        <v>425</v>
      </c>
      <c r="I9" s="825"/>
      <c r="J9" s="636" t="s">
        <v>219</v>
      </c>
      <c r="K9" s="636" t="s">
        <v>373</v>
      </c>
      <c r="L9" s="636" t="s">
        <v>427</v>
      </c>
    </row>
    <row r="10" spans="1:12" ht="27.75" customHeight="1">
      <c r="A10" s="631">
        <v>1</v>
      </c>
      <c r="B10" s="643">
        <v>2</v>
      </c>
      <c r="C10" s="631">
        <v>3</v>
      </c>
      <c r="D10" s="631">
        <v>4</v>
      </c>
      <c r="E10" s="631">
        <v>5</v>
      </c>
      <c r="F10" s="23">
        <v>6</v>
      </c>
      <c r="G10" s="23">
        <v>7</v>
      </c>
      <c r="H10" s="643">
        <v>8</v>
      </c>
      <c r="I10" s="643">
        <v>9</v>
      </c>
      <c r="J10" s="631">
        <v>10</v>
      </c>
      <c r="K10" s="631">
        <v>11</v>
      </c>
      <c r="L10" s="631">
        <v>12</v>
      </c>
    </row>
    <row r="11" spans="1:12" ht="60.75" customHeight="1">
      <c r="A11" s="632"/>
      <c r="B11" s="639" t="s">
        <v>939</v>
      </c>
      <c r="C11" s="12" t="s">
        <v>7</v>
      </c>
      <c r="D11" s="12" t="s">
        <v>7</v>
      </c>
      <c r="E11" s="12" t="s">
        <v>395</v>
      </c>
      <c r="F11" s="644">
        <f>F12+F42+F76</f>
        <v>37329.599999999999</v>
      </c>
      <c r="G11" s="644">
        <f>G12+G42+G76</f>
        <v>69519</v>
      </c>
      <c r="H11" s="644">
        <f>H12+H42+H76</f>
        <v>45253.200000000004</v>
      </c>
      <c r="I11" s="75"/>
      <c r="J11" s="30"/>
      <c r="K11" s="75"/>
      <c r="L11" s="75"/>
    </row>
    <row r="12" spans="1:12" ht="99" customHeight="1">
      <c r="A12" s="632"/>
      <c r="B12" s="72" t="s">
        <v>940</v>
      </c>
      <c r="C12" s="12" t="s">
        <v>7</v>
      </c>
      <c r="D12" s="12" t="s">
        <v>7</v>
      </c>
      <c r="E12" s="50" t="s">
        <v>394</v>
      </c>
      <c r="F12" s="18">
        <f>F13+F28+F35+F40</f>
        <v>15148.900000000001</v>
      </c>
      <c r="G12" s="18">
        <f>G13+G28+G35+G40</f>
        <v>48541.8</v>
      </c>
      <c r="H12" s="18">
        <f>H13+H28+H35+H40+0.1</f>
        <v>26073.600000000002</v>
      </c>
      <c r="I12" s="2" t="s">
        <v>463</v>
      </c>
      <c r="J12" s="59" t="s">
        <v>430</v>
      </c>
      <c r="K12" s="58" t="s">
        <v>431</v>
      </c>
      <c r="L12" s="58" t="s">
        <v>432</v>
      </c>
    </row>
    <row r="13" spans="1:12" ht="79.5" customHeight="1">
      <c r="A13" s="29"/>
      <c r="B13" s="53" t="s">
        <v>244</v>
      </c>
      <c r="C13" s="60"/>
      <c r="D13" s="60"/>
      <c r="E13" s="50" t="s">
        <v>393</v>
      </c>
      <c r="F13" s="282">
        <f>F15+F16+F17+F18+F19+F22+F23+F24+F25+F14</f>
        <v>11683.7</v>
      </c>
      <c r="G13" s="282">
        <f t="shared" ref="G13:H13" si="0">G15+G16+G17+G18+G19+G22+G23+G24+G25+G14</f>
        <v>7279.4000000000005</v>
      </c>
      <c r="H13" s="282">
        <f t="shared" si="0"/>
        <v>7004.3</v>
      </c>
      <c r="I13" s="2" t="s">
        <v>463</v>
      </c>
      <c r="J13" s="59" t="s">
        <v>430</v>
      </c>
      <c r="K13" s="58" t="s">
        <v>431</v>
      </c>
      <c r="L13" s="58" t="s">
        <v>432</v>
      </c>
    </row>
    <row r="14" spans="1:12" ht="37.5" customHeight="1">
      <c r="A14" s="29"/>
      <c r="B14" s="836" t="s">
        <v>428</v>
      </c>
      <c r="C14" s="57" t="s">
        <v>245</v>
      </c>
      <c r="D14" s="640" t="s">
        <v>12</v>
      </c>
      <c r="E14" s="827" t="s">
        <v>246</v>
      </c>
      <c r="F14" s="282">
        <v>60</v>
      </c>
      <c r="G14" s="124">
        <v>57</v>
      </c>
      <c r="H14" s="124">
        <v>54.6</v>
      </c>
      <c r="I14" s="832" t="s">
        <v>463</v>
      </c>
      <c r="J14" s="834" t="s">
        <v>430</v>
      </c>
      <c r="K14" s="827" t="s">
        <v>431</v>
      </c>
      <c r="L14" s="827" t="s">
        <v>432</v>
      </c>
    </row>
    <row r="15" spans="1:12" ht="30" customHeight="1">
      <c r="A15" s="632"/>
      <c r="B15" s="837"/>
      <c r="C15" s="57" t="s">
        <v>245</v>
      </c>
      <c r="D15" s="640" t="s">
        <v>429</v>
      </c>
      <c r="E15" s="828"/>
      <c r="F15" s="634">
        <f>740+18</f>
        <v>758</v>
      </c>
      <c r="G15" s="61">
        <f>703+17.1</f>
        <v>720.1</v>
      </c>
      <c r="H15" s="61">
        <f>673.4+16.4</f>
        <v>689.8</v>
      </c>
      <c r="I15" s="833"/>
      <c r="J15" s="835"/>
      <c r="K15" s="828"/>
      <c r="L15" s="828"/>
    </row>
    <row r="16" spans="1:12" ht="36" customHeight="1">
      <c r="A16" s="632"/>
      <c r="B16" s="126" t="s">
        <v>433</v>
      </c>
      <c r="C16" s="57" t="s">
        <v>245</v>
      </c>
      <c r="D16" s="640" t="s">
        <v>429</v>
      </c>
      <c r="E16" s="634" t="s">
        <v>247</v>
      </c>
      <c r="F16" s="634">
        <v>35</v>
      </c>
      <c r="G16" s="61">
        <v>33.200000000000003</v>
      </c>
      <c r="H16" s="61">
        <v>0</v>
      </c>
      <c r="I16" s="2" t="s">
        <v>461</v>
      </c>
      <c r="J16" s="125" t="s">
        <v>346</v>
      </c>
      <c r="K16" s="634" t="s">
        <v>347</v>
      </c>
      <c r="L16" s="634" t="s">
        <v>348</v>
      </c>
    </row>
    <row r="17" spans="1:12" ht="31.5" customHeight="1">
      <c r="A17" s="632"/>
      <c r="B17" s="829" t="s">
        <v>434</v>
      </c>
      <c r="C17" s="57" t="s">
        <v>245</v>
      </c>
      <c r="D17" s="830" t="s">
        <v>74</v>
      </c>
      <c r="E17" s="831" t="s">
        <v>248</v>
      </c>
      <c r="F17" s="634">
        <f>50+1588.8</f>
        <v>1638.8</v>
      </c>
      <c r="G17" s="61">
        <v>1556.9</v>
      </c>
      <c r="H17" s="61">
        <v>1491.3</v>
      </c>
      <c r="I17" s="832" t="s">
        <v>464</v>
      </c>
      <c r="J17" s="834">
        <v>0.44</v>
      </c>
      <c r="K17" s="834">
        <v>0.43</v>
      </c>
      <c r="L17" s="834">
        <v>0.42</v>
      </c>
    </row>
    <row r="18" spans="1:12" ht="25.5" customHeight="1">
      <c r="A18" s="632"/>
      <c r="B18" s="829"/>
      <c r="C18" s="57" t="s">
        <v>249</v>
      </c>
      <c r="D18" s="830"/>
      <c r="E18" s="831"/>
      <c r="F18" s="634">
        <v>726.8</v>
      </c>
      <c r="G18" s="61">
        <v>690.4</v>
      </c>
      <c r="H18" s="61">
        <v>661.4</v>
      </c>
      <c r="I18" s="833"/>
      <c r="J18" s="835"/>
      <c r="K18" s="835"/>
      <c r="L18" s="835"/>
    </row>
    <row r="19" spans="1:12" ht="55.5" customHeight="1">
      <c r="A19" s="632"/>
      <c r="B19" s="637" t="s">
        <v>435</v>
      </c>
      <c r="C19" s="57" t="s">
        <v>245</v>
      </c>
      <c r="D19" s="640" t="s">
        <v>429</v>
      </c>
      <c r="E19" s="634" t="s">
        <v>445</v>
      </c>
      <c r="F19" s="634">
        <f>F20+F21</f>
        <v>1500</v>
      </c>
      <c r="G19" s="634">
        <f t="shared" ref="G19:H19" si="1">G20+G21</f>
        <v>1500</v>
      </c>
      <c r="H19" s="634">
        <f t="shared" si="1"/>
        <v>1500</v>
      </c>
      <c r="I19" s="2" t="s">
        <v>463</v>
      </c>
      <c r="J19" s="59" t="s">
        <v>430</v>
      </c>
      <c r="K19" s="58" t="s">
        <v>431</v>
      </c>
      <c r="L19" s="58" t="s">
        <v>432</v>
      </c>
    </row>
    <row r="20" spans="1:12" ht="24.75" customHeight="1">
      <c r="A20" s="632"/>
      <c r="B20" s="256" t="s">
        <v>814</v>
      </c>
      <c r="C20" s="57"/>
      <c r="D20" s="640"/>
      <c r="E20" s="634"/>
      <c r="F20" s="634">
        <v>750</v>
      </c>
      <c r="G20" s="61">
        <v>750</v>
      </c>
      <c r="H20" s="61">
        <v>750</v>
      </c>
      <c r="I20" s="2"/>
      <c r="J20" s="59"/>
      <c r="K20" s="58"/>
      <c r="L20" s="58"/>
    </row>
    <row r="21" spans="1:12" ht="25.5" customHeight="1">
      <c r="A21" s="632"/>
      <c r="B21" s="256" t="s">
        <v>815</v>
      </c>
      <c r="C21" s="57"/>
      <c r="D21" s="640"/>
      <c r="E21" s="634"/>
      <c r="F21" s="634">
        <v>750</v>
      </c>
      <c r="G21" s="634">
        <v>750</v>
      </c>
      <c r="H21" s="634">
        <v>750</v>
      </c>
      <c r="I21" s="2"/>
      <c r="J21" s="637"/>
      <c r="K21" s="58"/>
      <c r="L21" s="58"/>
    </row>
    <row r="22" spans="1:12" ht="49.5" customHeight="1">
      <c r="A22" s="632"/>
      <c r="B22" s="838" t="s">
        <v>1604</v>
      </c>
      <c r="C22" s="57" t="s">
        <v>209</v>
      </c>
      <c r="D22" s="34" t="s">
        <v>440</v>
      </c>
      <c r="E22" s="831" t="s">
        <v>443</v>
      </c>
      <c r="F22" s="634">
        <v>2178.1</v>
      </c>
      <c r="G22" s="634">
        <v>2069.1999999999998</v>
      </c>
      <c r="H22" s="634">
        <v>1982.1</v>
      </c>
      <c r="I22" s="839" t="s">
        <v>462</v>
      </c>
      <c r="J22" s="840" t="s">
        <v>430</v>
      </c>
      <c r="K22" s="831" t="s">
        <v>431</v>
      </c>
      <c r="L22" s="831" t="s">
        <v>432</v>
      </c>
    </row>
    <row r="23" spans="1:12" ht="40.5" customHeight="1">
      <c r="A23" s="632"/>
      <c r="B23" s="838"/>
      <c r="C23" s="57" t="s">
        <v>441</v>
      </c>
      <c r="D23" s="34" t="s">
        <v>442</v>
      </c>
      <c r="E23" s="831"/>
      <c r="F23" s="634">
        <v>559.79999999999995</v>
      </c>
      <c r="G23" s="634">
        <v>531.79999999999995</v>
      </c>
      <c r="H23" s="634">
        <v>509.4</v>
      </c>
      <c r="I23" s="839"/>
      <c r="J23" s="840"/>
      <c r="K23" s="831"/>
      <c r="L23" s="831"/>
    </row>
    <row r="24" spans="1:12" ht="33.75" customHeight="1">
      <c r="A24" s="632"/>
      <c r="B24" s="838"/>
      <c r="C24" s="57" t="s">
        <v>245</v>
      </c>
      <c r="D24" s="34" t="s">
        <v>10</v>
      </c>
      <c r="E24" s="831"/>
      <c r="F24" s="634">
        <v>127.2</v>
      </c>
      <c r="G24" s="634">
        <v>120.8</v>
      </c>
      <c r="H24" s="634">
        <v>115.7</v>
      </c>
      <c r="I24" s="839"/>
      <c r="J24" s="840"/>
      <c r="K24" s="831"/>
      <c r="L24" s="831"/>
    </row>
    <row r="25" spans="1:12" ht="45.75" customHeight="1">
      <c r="A25" s="632"/>
      <c r="B25" s="637" t="s">
        <v>436</v>
      </c>
      <c r="C25" s="57" t="s">
        <v>444</v>
      </c>
      <c r="D25" s="640" t="s">
        <v>429</v>
      </c>
      <c r="E25" s="634" t="s">
        <v>445</v>
      </c>
      <c r="F25" s="634">
        <f>F26+F27</f>
        <v>4100</v>
      </c>
      <c r="G25" s="61">
        <v>0</v>
      </c>
      <c r="H25" s="61">
        <v>0</v>
      </c>
      <c r="I25" s="2" t="s">
        <v>461</v>
      </c>
      <c r="J25" s="125" t="s">
        <v>437</v>
      </c>
      <c r="K25" s="634" t="s">
        <v>438</v>
      </c>
      <c r="L25" s="634" t="s">
        <v>439</v>
      </c>
    </row>
    <row r="26" spans="1:12" ht="28.5" customHeight="1">
      <c r="A26" s="632"/>
      <c r="B26" s="256" t="s">
        <v>814</v>
      </c>
      <c r="C26" s="57"/>
      <c r="D26" s="640"/>
      <c r="E26" s="634"/>
      <c r="F26" s="634">
        <v>2050</v>
      </c>
      <c r="G26" s="61"/>
      <c r="H26" s="61"/>
      <c r="I26" s="2"/>
      <c r="J26" s="125"/>
      <c r="K26" s="634"/>
      <c r="L26" s="634"/>
    </row>
    <row r="27" spans="1:12" ht="28.5" customHeight="1">
      <c r="A27" s="632"/>
      <c r="B27" s="256" t="s">
        <v>815</v>
      </c>
      <c r="C27" s="57"/>
      <c r="D27" s="640"/>
      <c r="E27" s="634"/>
      <c r="F27" s="634">
        <v>2050</v>
      </c>
      <c r="G27" s="61"/>
      <c r="H27" s="61"/>
      <c r="I27" s="2"/>
      <c r="J27" s="125"/>
      <c r="K27" s="634"/>
      <c r="L27" s="634"/>
    </row>
    <row r="28" spans="1:12" ht="63.75" customHeight="1">
      <c r="A28" s="29"/>
      <c r="B28" s="53" t="s">
        <v>250</v>
      </c>
      <c r="C28" s="54"/>
      <c r="D28" s="282"/>
      <c r="E28" s="282">
        <v>510200000</v>
      </c>
      <c r="F28" s="282">
        <f>F29+F30+F31+F32+F33+F34</f>
        <v>1209.2</v>
      </c>
      <c r="G28" s="282">
        <f t="shared" ref="G28:H28" si="2">G29+G30+G31+G32+G33+G34</f>
        <v>1148.7</v>
      </c>
      <c r="H28" s="282">
        <f t="shared" si="2"/>
        <v>1182.1999999999998</v>
      </c>
      <c r="I28" s="2" t="s">
        <v>460</v>
      </c>
      <c r="J28" s="125">
        <v>0.44</v>
      </c>
      <c r="K28" s="634">
        <v>0.43</v>
      </c>
      <c r="L28" s="634">
        <v>0.42</v>
      </c>
    </row>
    <row r="29" spans="1:12" ht="36.75" customHeight="1">
      <c r="A29" s="632"/>
      <c r="B29" s="829" t="s">
        <v>251</v>
      </c>
      <c r="C29" s="57" t="s">
        <v>245</v>
      </c>
      <c r="D29" s="640" t="s">
        <v>12</v>
      </c>
      <c r="E29" s="831" t="s">
        <v>446</v>
      </c>
      <c r="F29" s="634">
        <v>76.8</v>
      </c>
      <c r="G29" s="61">
        <v>73</v>
      </c>
      <c r="H29" s="61">
        <v>69.900000000000006</v>
      </c>
      <c r="I29" s="839" t="s">
        <v>460</v>
      </c>
      <c r="J29" s="834">
        <v>0.44</v>
      </c>
      <c r="K29" s="827">
        <v>0.43</v>
      </c>
      <c r="L29" s="827">
        <v>0.42</v>
      </c>
    </row>
    <row r="30" spans="1:12" ht="37.5" customHeight="1">
      <c r="A30" s="632"/>
      <c r="B30" s="829"/>
      <c r="C30" s="57" t="s">
        <v>209</v>
      </c>
      <c r="D30" s="640" t="s">
        <v>12</v>
      </c>
      <c r="E30" s="831"/>
      <c r="F30" s="634">
        <v>900</v>
      </c>
      <c r="G30" s="61">
        <v>855</v>
      </c>
      <c r="H30" s="61">
        <v>900.9</v>
      </c>
      <c r="I30" s="839"/>
      <c r="J30" s="835"/>
      <c r="K30" s="828"/>
      <c r="L30" s="828"/>
    </row>
    <row r="31" spans="1:12" ht="47.25" customHeight="1">
      <c r="A31" s="632"/>
      <c r="B31" s="638" t="s">
        <v>1605</v>
      </c>
      <c r="C31" s="57" t="s">
        <v>449</v>
      </c>
      <c r="D31" s="640" t="s">
        <v>10</v>
      </c>
      <c r="E31" s="634" t="s">
        <v>448</v>
      </c>
      <c r="F31" s="634">
        <v>200</v>
      </c>
      <c r="G31" s="61">
        <v>190</v>
      </c>
      <c r="H31" s="61">
        <v>182</v>
      </c>
      <c r="I31" s="2" t="s">
        <v>447</v>
      </c>
      <c r="J31" s="125">
        <v>0.44</v>
      </c>
      <c r="K31" s="634">
        <v>0.43</v>
      </c>
      <c r="L31" s="634">
        <v>0.42</v>
      </c>
    </row>
    <row r="32" spans="1:12" ht="81.75" customHeight="1">
      <c r="A32" s="632"/>
      <c r="B32" s="57" t="s">
        <v>1606</v>
      </c>
      <c r="C32" s="57" t="s">
        <v>245</v>
      </c>
      <c r="D32" s="640" t="s">
        <v>12</v>
      </c>
      <c r="E32" s="634" t="s">
        <v>450</v>
      </c>
      <c r="F32" s="634">
        <f>6.5+5+3.2</f>
        <v>14.7</v>
      </c>
      <c r="G32" s="61">
        <f>6.2+3+4.7</f>
        <v>13.899999999999999</v>
      </c>
      <c r="H32" s="61">
        <f>5.9+2.9+4.5</f>
        <v>13.3</v>
      </c>
      <c r="I32" s="2" t="s">
        <v>460</v>
      </c>
      <c r="J32" s="125">
        <v>0.44</v>
      </c>
      <c r="K32" s="634">
        <v>0.43</v>
      </c>
      <c r="L32" s="634">
        <v>0.42</v>
      </c>
    </row>
    <row r="33" spans="1:12" ht="159" customHeight="1">
      <c r="A33" s="632"/>
      <c r="B33" s="57" t="s">
        <v>1607</v>
      </c>
      <c r="C33" s="57" t="s">
        <v>245</v>
      </c>
      <c r="D33" s="640" t="s">
        <v>12</v>
      </c>
      <c r="E33" s="634" t="s">
        <v>451</v>
      </c>
      <c r="F33" s="634">
        <v>4.2</v>
      </c>
      <c r="G33" s="634">
        <v>4</v>
      </c>
      <c r="H33" s="634">
        <v>3.8</v>
      </c>
      <c r="I33" s="2" t="s">
        <v>460</v>
      </c>
      <c r="J33" s="635">
        <v>0.44</v>
      </c>
      <c r="K33" s="634">
        <v>0.43</v>
      </c>
      <c r="L33" s="634">
        <v>0.42</v>
      </c>
    </row>
    <row r="34" spans="1:12" ht="85.5" customHeight="1">
      <c r="A34" s="632"/>
      <c r="B34" s="57" t="s">
        <v>1608</v>
      </c>
      <c r="C34" s="57" t="s">
        <v>245</v>
      </c>
      <c r="D34" s="640" t="s">
        <v>14</v>
      </c>
      <c r="E34" s="634" t="s">
        <v>452</v>
      </c>
      <c r="F34" s="634">
        <v>13.5</v>
      </c>
      <c r="G34" s="634">
        <v>12.8</v>
      </c>
      <c r="H34" s="634">
        <v>12.3</v>
      </c>
      <c r="I34" s="2" t="s">
        <v>460</v>
      </c>
      <c r="J34" s="635">
        <v>0.44</v>
      </c>
      <c r="K34" s="634">
        <v>0.43</v>
      </c>
      <c r="L34" s="634">
        <v>0.42</v>
      </c>
    </row>
    <row r="35" spans="1:12" ht="84" customHeight="1">
      <c r="A35" s="29"/>
      <c r="B35" s="77" t="s">
        <v>938</v>
      </c>
      <c r="C35" s="54"/>
      <c r="D35" s="282"/>
      <c r="E35" s="50" t="s">
        <v>459</v>
      </c>
      <c r="F35" s="31">
        <f>F36</f>
        <v>2239.8000000000002</v>
      </c>
      <c r="G35" s="31">
        <f t="shared" ref="G35:H35" si="3">G36</f>
        <v>40098.300000000003</v>
      </c>
      <c r="H35" s="31">
        <f t="shared" si="3"/>
        <v>17872.300000000003</v>
      </c>
      <c r="I35" s="2" t="s">
        <v>460</v>
      </c>
      <c r="J35" s="125">
        <v>0.44</v>
      </c>
      <c r="K35" s="634">
        <v>0.43</v>
      </c>
      <c r="L35" s="634">
        <v>0.42</v>
      </c>
    </row>
    <row r="36" spans="1:12" ht="72" customHeight="1">
      <c r="A36" s="632"/>
      <c r="B36" s="638" t="s">
        <v>453</v>
      </c>
      <c r="C36" s="58" t="s">
        <v>249</v>
      </c>
      <c r="D36" s="34" t="s">
        <v>74</v>
      </c>
      <c r="E36" s="635" t="s">
        <v>454</v>
      </c>
      <c r="F36" s="18">
        <f>F37+F39+F38</f>
        <v>2239.8000000000002</v>
      </c>
      <c r="G36" s="18">
        <f t="shared" ref="G36:H36" si="4">G37+G39+G38</f>
        <v>40098.300000000003</v>
      </c>
      <c r="H36" s="18">
        <f t="shared" si="4"/>
        <v>17872.300000000003</v>
      </c>
      <c r="I36" s="2" t="s">
        <v>460</v>
      </c>
      <c r="J36" s="125">
        <v>0.44</v>
      </c>
      <c r="K36" s="634">
        <v>0.43</v>
      </c>
      <c r="L36" s="634">
        <v>0.42</v>
      </c>
    </row>
    <row r="37" spans="1:12" ht="27" customHeight="1">
      <c r="A37" s="632"/>
      <c r="B37" s="256" t="s">
        <v>396</v>
      </c>
      <c r="C37" s="58"/>
      <c r="D37" s="34"/>
      <c r="E37" s="635"/>
      <c r="F37" s="18">
        <v>1500</v>
      </c>
      <c r="G37" s="127">
        <v>8794.4</v>
      </c>
      <c r="H37" s="127"/>
      <c r="I37" s="2"/>
      <c r="J37" s="125"/>
      <c r="K37" s="634"/>
      <c r="L37" s="634"/>
    </row>
    <row r="38" spans="1:12" ht="21" customHeight="1">
      <c r="A38" s="632"/>
      <c r="B38" s="256" t="s">
        <v>814</v>
      </c>
      <c r="C38" s="58"/>
      <c r="D38" s="34"/>
      <c r="E38" s="635"/>
      <c r="F38" s="18">
        <v>554.79999999999995</v>
      </c>
      <c r="G38" s="127">
        <f>17549.5+5928.2</f>
        <v>23477.7</v>
      </c>
      <c r="H38" s="127">
        <v>13404.2</v>
      </c>
      <c r="I38" s="2"/>
      <c r="J38" s="125"/>
      <c r="K38" s="634"/>
      <c r="L38" s="634"/>
    </row>
    <row r="39" spans="1:12" ht="21.75" customHeight="1">
      <c r="A39" s="632"/>
      <c r="B39" s="256" t="s">
        <v>815</v>
      </c>
      <c r="C39" s="58"/>
      <c r="D39" s="34"/>
      <c r="E39" s="635"/>
      <c r="F39" s="18">
        <v>185</v>
      </c>
      <c r="G39" s="127">
        <v>7826.2</v>
      </c>
      <c r="H39" s="127">
        <v>4468.1000000000004</v>
      </c>
      <c r="I39" s="2"/>
      <c r="J39" s="125"/>
      <c r="K39" s="634"/>
      <c r="L39" s="634"/>
    </row>
    <row r="40" spans="1:12" ht="53.25" customHeight="1">
      <c r="A40" s="632"/>
      <c r="B40" s="638" t="s">
        <v>455</v>
      </c>
      <c r="C40" s="58"/>
      <c r="D40" s="34"/>
      <c r="E40" s="50" t="s">
        <v>458</v>
      </c>
      <c r="F40" s="18">
        <f>F41</f>
        <v>16.2</v>
      </c>
      <c r="G40" s="18">
        <f t="shared" ref="G40:H40" si="5">G41</f>
        <v>15.4</v>
      </c>
      <c r="H40" s="127">
        <f t="shared" si="5"/>
        <v>14.7</v>
      </c>
      <c r="I40" s="284" t="s">
        <v>937</v>
      </c>
      <c r="J40" s="125"/>
      <c r="K40" s="634"/>
      <c r="L40" s="634"/>
    </row>
    <row r="41" spans="1:12" ht="49.5" customHeight="1">
      <c r="A41" s="632"/>
      <c r="B41" s="638" t="s">
        <v>456</v>
      </c>
      <c r="C41" s="58" t="s">
        <v>449</v>
      </c>
      <c r="D41" s="34" t="s">
        <v>50</v>
      </c>
      <c r="E41" s="635" t="s">
        <v>457</v>
      </c>
      <c r="F41" s="18">
        <v>16.2</v>
      </c>
      <c r="G41" s="127">
        <v>15.4</v>
      </c>
      <c r="H41" s="127">
        <v>14.7</v>
      </c>
      <c r="I41" s="284" t="s">
        <v>937</v>
      </c>
      <c r="J41" s="125"/>
      <c r="K41" s="634"/>
      <c r="L41" s="634"/>
    </row>
    <row r="42" spans="1:12" ht="48.75" customHeight="1">
      <c r="A42" s="632"/>
      <c r="B42" s="30" t="s">
        <v>1609</v>
      </c>
      <c r="C42" s="637"/>
      <c r="D42" s="635"/>
      <c r="E42" s="635"/>
      <c r="F42" s="62">
        <f>F43+F53+F58+F62+F66+F68+F72</f>
        <v>2903.1</v>
      </c>
      <c r="G42" s="62">
        <f t="shared" ref="G42:H42" si="6">G43+G53+G58+G62+G66+G68+G72</f>
        <v>2662.8999999999996</v>
      </c>
      <c r="H42" s="62">
        <f t="shared" si="6"/>
        <v>1636.2</v>
      </c>
      <c r="I42" s="2"/>
      <c r="J42" s="59"/>
      <c r="K42" s="58"/>
      <c r="L42" s="58"/>
    </row>
    <row r="43" spans="1:12" s="3" customFormat="1" ht="58.5" customHeight="1">
      <c r="A43" s="29"/>
      <c r="B43" s="69" t="s">
        <v>1610</v>
      </c>
      <c r="C43" s="67"/>
      <c r="D43" s="71"/>
      <c r="E43" s="71">
        <v>520100000</v>
      </c>
      <c r="F43" s="130">
        <f>F44+F45+F46+F47+F49+F50+F51+F52</f>
        <v>609.69999999999993</v>
      </c>
      <c r="G43" s="130">
        <f t="shared" ref="G43:H43" si="7">G44+G45+G46+G47+G49+G50+G51+G52</f>
        <v>484.3</v>
      </c>
      <c r="H43" s="130">
        <f t="shared" si="7"/>
        <v>277.39999999999998</v>
      </c>
      <c r="I43" s="53" t="s">
        <v>465</v>
      </c>
      <c r="J43" s="128" t="s">
        <v>466</v>
      </c>
      <c r="K43" s="282" t="s">
        <v>467</v>
      </c>
      <c r="L43" s="282" t="s">
        <v>468</v>
      </c>
    </row>
    <row r="44" spans="1:12" ht="72.75" customHeight="1">
      <c r="A44" s="632"/>
      <c r="B44" s="637" t="s">
        <v>252</v>
      </c>
      <c r="C44" s="637" t="s">
        <v>245</v>
      </c>
      <c r="D44" s="640" t="s">
        <v>14</v>
      </c>
      <c r="E44" s="634" t="s">
        <v>469</v>
      </c>
      <c r="F44" s="18">
        <v>30</v>
      </c>
      <c r="G44" s="127">
        <v>28.5</v>
      </c>
      <c r="H44" s="127">
        <v>27.2</v>
      </c>
      <c r="I44" s="53" t="s">
        <v>465</v>
      </c>
      <c r="J44" s="128" t="s">
        <v>466</v>
      </c>
      <c r="K44" s="282" t="s">
        <v>467</v>
      </c>
      <c r="L44" s="282" t="s">
        <v>468</v>
      </c>
    </row>
    <row r="45" spans="1:12" ht="147" customHeight="1">
      <c r="A45" s="632"/>
      <c r="B45" s="637" t="s">
        <v>253</v>
      </c>
      <c r="C45" s="637" t="s">
        <v>245</v>
      </c>
      <c r="D45" s="640" t="s">
        <v>14</v>
      </c>
      <c r="E45" s="634" t="s">
        <v>470</v>
      </c>
      <c r="F45" s="635">
        <v>16.2</v>
      </c>
      <c r="G45" s="64">
        <v>15.4</v>
      </c>
      <c r="H45" s="63">
        <v>14.7</v>
      </c>
      <c r="I45" s="53" t="s">
        <v>465</v>
      </c>
      <c r="J45" s="128" t="s">
        <v>466</v>
      </c>
      <c r="K45" s="282" t="s">
        <v>467</v>
      </c>
      <c r="L45" s="282" t="s">
        <v>468</v>
      </c>
    </row>
    <row r="46" spans="1:12" ht="29.25" customHeight="1">
      <c r="A46" s="841"/>
      <c r="B46" s="843" t="s">
        <v>254</v>
      </c>
      <c r="C46" s="637" t="s">
        <v>245</v>
      </c>
      <c r="D46" s="640" t="s">
        <v>14</v>
      </c>
      <c r="E46" s="827" t="s">
        <v>471</v>
      </c>
      <c r="F46" s="635">
        <v>117</v>
      </c>
      <c r="G46" s="64">
        <v>0</v>
      </c>
      <c r="H46" s="63"/>
      <c r="I46" s="844" t="s">
        <v>465</v>
      </c>
      <c r="J46" s="844" t="s">
        <v>466</v>
      </c>
      <c r="K46" s="846" t="s">
        <v>467</v>
      </c>
      <c r="L46" s="846" t="s">
        <v>468</v>
      </c>
    </row>
    <row r="47" spans="1:12" ht="45" customHeight="1">
      <c r="A47" s="842"/>
      <c r="B47" s="843"/>
      <c r="C47" s="637" t="s">
        <v>441</v>
      </c>
      <c r="D47" s="34" t="s">
        <v>27</v>
      </c>
      <c r="E47" s="828"/>
      <c r="F47" s="635">
        <v>25</v>
      </c>
      <c r="G47" s="64">
        <v>23.7</v>
      </c>
      <c r="H47" s="64">
        <v>22.7</v>
      </c>
      <c r="I47" s="845"/>
      <c r="J47" s="845"/>
      <c r="K47" s="847"/>
      <c r="L47" s="847"/>
    </row>
    <row r="48" spans="1:12" ht="94.5" hidden="1" customHeight="1">
      <c r="A48" s="632"/>
      <c r="B48" s="843"/>
      <c r="C48" s="637" t="s">
        <v>255</v>
      </c>
      <c r="D48" s="635"/>
      <c r="E48" s="65"/>
      <c r="F48" s="635">
        <v>0</v>
      </c>
      <c r="G48" s="64"/>
      <c r="H48" s="63">
        <v>0</v>
      </c>
      <c r="I48" s="53" t="s">
        <v>465</v>
      </c>
      <c r="J48" s="128" t="s">
        <v>466</v>
      </c>
      <c r="K48" s="282" t="s">
        <v>467</v>
      </c>
      <c r="L48" s="282" t="s">
        <v>468</v>
      </c>
    </row>
    <row r="49" spans="1:55" ht="54.75" customHeight="1">
      <c r="A49" s="632"/>
      <c r="B49" s="633" t="s">
        <v>472</v>
      </c>
      <c r="C49" s="637" t="s">
        <v>249</v>
      </c>
      <c r="D49" s="34" t="s">
        <v>10</v>
      </c>
      <c r="E49" s="634" t="s">
        <v>473</v>
      </c>
      <c r="F49" s="635">
        <v>200</v>
      </c>
      <c r="G49" s="64">
        <v>200</v>
      </c>
      <c r="H49" s="63"/>
      <c r="I49" s="53" t="s">
        <v>465</v>
      </c>
      <c r="J49" s="128" t="s">
        <v>466</v>
      </c>
      <c r="K49" s="282" t="s">
        <v>467</v>
      </c>
      <c r="L49" s="282" t="s">
        <v>468</v>
      </c>
    </row>
    <row r="50" spans="1:55" ht="45.75" customHeight="1">
      <c r="A50" s="632"/>
      <c r="B50" s="129" t="s">
        <v>474</v>
      </c>
      <c r="C50" s="637" t="s">
        <v>245</v>
      </c>
      <c r="D50" s="34" t="s">
        <v>14</v>
      </c>
      <c r="E50" s="634" t="s">
        <v>475</v>
      </c>
      <c r="F50" s="635">
        <v>80</v>
      </c>
      <c r="G50" s="64">
        <v>76</v>
      </c>
      <c r="H50" s="61">
        <v>72.8</v>
      </c>
      <c r="I50" s="53" t="s">
        <v>465</v>
      </c>
      <c r="J50" s="128" t="s">
        <v>466</v>
      </c>
      <c r="K50" s="282" t="s">
        <v>467</v>
      </c>
      <c r="L50" s="282" t="s">
        <v>468</v>
      </c>
    </row>
    <row r="51" spans="1:55" ht="57.75" customHeight="1">
      <c r="A51" s="632"/>
      <c r="B51" s="117" t="s">
        <v>476</v>
      </c>
      <c r="C51" s="637" t="s">
        <v>441</v>
      </c>
      <c r="D51" s="34" t="s">
        <v>27</v>
      </c>
      <c r="E51" s="634" t="s">
        <v>477</v>
      </c>
      <c r="F51" s="635">
        <v>16.2</v>
      </c>
      <c r="G51" s="64">
        <v>15.4</v>
      </c>
      <c r="H51" s="64">
        <v>14.7</v>
      </c>
      <c r="I51" s="53" t="s">
        <v>465</v>
      </c>
      <c r="J51" s="128" t="s">
        <v>466</v>
      </c>
      <c r="K51" s="282" t="s">
        <v>467</v>
      </c>
      <c r="L51" s="282" t="s">
        <v>468</v>
      </c>
    </row>
    <row r="52" spans="1:55" ht="57.75" customHeight="1">
      <c r="A52" s="632"/>
      <c r="B52" s="117" t="s">
        <v>1611</v>
      </c>
      <c r="C52" s="637" t="s">
        <v>245</v>
      </c>
      <c r="D52" s="34" t="s">
        <v>14</v>
      </c>
      <c r="E52" s="645" t="s">
        <v>1614</v>
      </c>
      <c r="F52" s="635">
        <v>125.3</v>
      </c>
      <c r="G52" s="64">
        <v>125.3</v>
      </c>
      <c r="H52" s="61">
        <v>125.3</v>
      </c>
      <c r="I52" s="53" t="s">
        <v>465</v>
      </c>
      <c r="J52" s="128" t="s">
        <v>466</v>
      </c>
      <c r="K52" s="282" t="s">
        <v>467</v>
      </c>
      <c r="L52" s="282" t="s">
        <v>468</v>
      </c>
    </row>
    <row r="53" spans="1:55" s="28" customFormat="1" ht="51" customHeight="1">
      <c r="A53" s="29"/>
      <c r="B53" s="66" t="s">
        <v>256</v>
      </c>
      <c r="C53" s="67"/>
      <c r="D53" s="67"/>
      <c r="E53" s="32">
        <v>520200000</v>
      </c>
      <c r="F53" s="32">
        <f t="shared" ref="F53:H53" si="8">F54+F55+F56+F57</f>
        <v>131.6</v>
      </c>
      <c r="G53" s="32">
        <f t="shared" si="8"/>
        <v>125</v>
      </c>
      <c r="H53" s="32">
        <f t="shared" si="8"/>
        <v>119.69999999999999</v>
      </c>
      <c r="I53" s="68" t="s">
        <v>913</v>
      </c>
      <c r="J53" s="282" t="s">
        <v>914</v>
      </c>
      <c r="K53" s="282" t="s">
        <v>915</v>
      </c>
      <c r="L53" s="282" t="s">
        <v>916</v>
      </c>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row>
    <row r="54" spans="1:55" ht="82.5" customHeight="1">
      <c r="A54" s="632"/>
      <c r="B54" s="57" t="s">
        <v>257</v>
      </c>
      <c r="C54" s="57" t="s">
        <v>245</v>
      </c>
      <c r="D54" s="634">
        <v>314</v>
      </c>
      <c r="E54" s="634" t="s">
        <v>917</v>
      </c>
      <c r="F54" s="635">
        <v>10</v>
      </c>
      <c r="G54" s="64">
        <v>9.5</v>
      </c>
      <c r="H54" s="61">
        <v>9.1</v>
      </c>
      <c r="I54" s="68" t="s">
        <v>913</v>
      </c>
      <c r="J54" s="282" t="s">
        <v>914</v>
      </c>
      <c r="K54" s="282" t="s">
        <v>915</v>
      </c>
      <c r="L54" s="282" t="s">
        <v>916</v>
      </c>
    </row>
    <row r="55" spans="1:55" ht="69" customHeight="1">
      <c r="A55" s="632"/>
      <c r="B55" s="57" t="s">
        <v>258</v>
      </c>
      <c r="C55" s="57" t="s">
        <v>209</v>
      </c>
      <c r="D55" s="634">
        <v>702</v>
      </c>
      <c r="E55" s="634" t="s">
        <v>920</v>
      </c>
      <c r="F55" s="635">
        <v>90</v>
      </c>
      <c r="G55" s="64">
        <v>85.5</v>
      </c>
      <c r="H55" s="63">
        <v>81.900000000000006</v>
      </c>
      <c r="I55" s="68" t="s">
        <v>913</v>
      </c>
      <c r="J55" s="282" t="s">
        <v>914</v>
      </c>
      <c r="K55" s="282" t="s">
        <v>915</v>
      </c>
      <c r="L55" s="282" t="s">
        <v>916</v>
      </c>
    </row>
    <row r="56" spans="1:55" ht="39.75" customHeight="1">
      <c r="A56" s="632"/>
      <c r="B56" s="57" t="s">
        <v>259</v>
      </c>
      <c r="C56" s="57" t="s">
        <v>209</v>
      </c>
      <c r="D56" s="634">
        <v>702</v>
      </c>
      <c r="E56" s="634" t="s">
        <v>921</v>
      </c>
      <c r="F56" s="635">
        <v>21.6</v>
      </c>
      <c r="G56" s="64">
        <v>20.5</v>
      </c>
      <c r="H56" s="63">
        <v>19.600000000000001</v>
      </c>
      <c r="I56" s="68" t="s">
        <v>913</v>
      </c>
      <c r="J56" s="282" t="s">
        <v>914</v>
      </c>
      <c r="K56" s="282" t="s">
        <v>915</v>
      </c>
      <c r="L56" s="282" t="s">
        <v>916</v>
      </c>
    </row>
    <row r="57" spans="1:55" ht="98.25" customHeight="1">
      <c r="A57" s="632"/>
      <c r="B57" s="57" t="s">
        <v>936</v>
      </c>
      <c r="C57" s="57" t="s">
        <v>245</v>
      </c>
      <c r="D57" s="634"/>
      <c r="E57" s="634" t="s">
        <v>922</v>
      </c>
      <c r="F57" s="635">
        <v>10</v>
      </c>
      <c r="G57" s="64">
        <v>9.5</v>
      </c>
      <c r="H57" s="63">
        <v>9.1</v>
      </c>
      <c r="I57" s="68" t="s">
        <v>913</v>
      </c>
      <c r="J57" s="282" t="s">
        <v>914</v>
      </c>
      <c r="K57" s="282" t="s">
        <v>915</v>
      </c>
      <c r="L57" s="282" t="s">
        <v>916</v>
      </c>
    </row>
    <row r="58" spans="1:55" s="3" customFormat="1" ht="86.25" customHeight="1">
      <c r="A58" s="29"/>
      <c r="B58" s="69" t="s">
        <v>260</v>
      </c>
      <c r="C58" s="67"/>
      <c r="D58" s="67"/>
      <c r="E58" s="32">
        <v>520030000</v>
      </c>
      <c r="F58" s="32">
        <f>F59+F60+F61</f>
        <v>27.2</v>
      </c>
      <c r="G58" s="32">
        <f t="shared" ref="G58:H58" si="9">G59+G60+G61</f>
        <v>25.8</v>
      </c>
      <c r="H58" s="32">
        <f t="shared" si="9"/>
        <v>24.7</v>
      </c>
      <c r="I58" s="2" t="s">
        <v>927</v>
      </c>
      <c r="J58" s="59">
        <v>168</v>
      </c>
      <c r="K58" s="58">
        <v>164</v>
      </c>
      <c r="L58" s="58">
        <v>160</v>
      </c>
    </row>
    <row r="59" spans="1:55" ht="78.75" customHeight="1">
      <c r="A59" s="632"/>
      <c r="B59" s="57" t="s">
        <v>261</v>
      </c>
      <c r="C59" s="57" t="s">
        <v>245</v>
      </c>
      <c r="D59" s="640" t="s">
        <v>14</v>
      </c>
      <c r="E59" s="634" t="s">
        <v>923</v>
      </c>
      <c r="F59" s="634">
        <v>10</v>
      </c>
      <c r="G59" s="61">
        <v>9.5</v>
      </c>
      <c r="H59" s="61">
        <v>9.1</v>
      </c>
      <c r="I59" s="2" t="s">
        <v>927</v>
      </c>
      <c r="J59" s="59">
        <v>168</v>
      </c>
      <c r="K59" s="58">
        <v>164</v>
      </c>
      <c r="L59" s="58">
        <v>160</v>
      </c>
    </row>
    <row r="60" spans="1:55" ht="89.25" customHeight="1">
      <c r="A60" s="632"/>
      <c r="B60" s="57" t="s">
        <v>262</v>
      </c>
      <c r="C60" s="57" t="s">
        <v>245</v>
      </c>
      <c r="D60" s="640" t="s">
        <v>14</v>
      </c>
      <c r="E60" s="634" t="s">
        <v>924</v>
      </c>
      <c r="F60" s="635">
        <v>10</v>
      </c>
      <c r="G60" s="64">
        <v>9.5</v>
      </c>
      <c r="H60" s="63">
        <v>9.1</v>
      </c>
      <c r="I60" s="2" t="s">
        <v>927</v>
      </c>
      <c r="J60" s="59">
        <v>168</v>
      </c>
      <c r="K60" s="58">
        <v>164</v>
      </c>
      <c r="L60" s="58">
        <v>160</v>
      </c>
    </row>
    <row r="61" spans="1:55" ht="97.5" customHeight="1">
      <c r="A61" s="632"/>
      <c r="B61" s="57" t="s">
        <v>925</v>
      </c>
      <c r="C61" s="57" t="s">
        <v>245</v>
      </c>
      <c r="D61" s="640" t="s">
        <v>14</v>
      </c>
      <c r="E61" s="634" t="s">
        <v>926</v>
      </c>
      <c r="F61" s="634">
        <v>7.2</v>
      </c>
      <c r="G61" s="61">
        <v>6.8</v>
      </c>
      <c r="H61" s="61">
        <v>6.5</v>
      </c>
      <c r="I61" s="2" t="s">
        <v>927</v>
      </c>
      <c r="J61" s="59">
        <v>168</v>
      </c>
      <c r="K61" s="58">
        <v>164</v>
      </c>
      <c r="L61" s="58">
        <v>160</v>
      </c>
    </row>
    <row r="62" spans="1:55" s="3" customFormat="1" ht="69" customHeight="1">
      <c r="A62" s="29"/>
      <c r="B62" s="70" t="s">
        <v>263</v>
      </c>
      <c r="C62" s="69"/>
      <c r="D62" s="32"/>
      <c r="E62" s="32">
        <v>520040000</v>
      </c>
      <c r="F62" s="32">
        <f>F63+F64+F65</f>
        <v>1146.4000000000001</v>
      </c>
      <c r="G62" s="32">
        <f t="shared" ref="G62:H62" si="10">G63+G64+G65</f>
        <v>1089.0999999999999</v>
      </c>
      <c r="H62" s="32">
        <f t="shared" si="10"/>
        <v>1043.2</v>
      </c>
      <c r="I62" s="53" t="s">
        <v>928</v>
      </c>
      <c r="J62" s="60">
        <v>1.25</v>
      </c>
      <c r="K62" s="60">
        <v>1.23</v>
      </c>
      <c r="L62" s="60">
        <v>1.2</v>
      </c>
    </row>
    <row r="63" spans="1:55" ht="67.5" customHeight="1">
      <c r="A63" s="632"/>
      <c r="B63" s="117" t="s">
        <v>264</v>
      </c>
      <c r="C63" s="57" t="s">
        <v>209</v>
      </c>
      <c r="D63" s="640" t="s">
        <v>25</v>
      </c>
      <c r="E63" s="634" t="s">
        <v>929</v>
      </c>
      <c r="F63" s="635">
        <v>859</v>
      </c>
      <c r="G63" s="64">
        <v>816</v>
      </c>
      <c r="H63" s="63">
        <v>781.7</v>
      </c>
      <c r="I63" s="53" t="s">
        <v>928</v>
      </c>
      <c r="J63" s="60">
        <v>1.25</v>
      </c>
      <c r="K63" s="60">
        <v>1.23</v>
      </c>
      <c r="L63" s="60">
        <v>1.2</v>
      </c>
    </row>
    <row r="64" spans="1:55" ht="78.75">
      <c r="A64" s="632"/>
      <c r="B64" s="117" t="s">
        <v>265</v>
      </c>
      <c r="C64" s="57" t="s">
        <v>209</v>
      </c>
      <c r="D64" s="634">
        <v>707</v>
      </c>
      <c r="E64" s="634" t="s">
        <v>930</v>
      </c>
      <c r="F64" s="635">
        <v>248.7</v>
      </c>
      <c r="G64" s="64">
        <v>236.3</v>
      </c>
      <c r="H64" s="63">
        <v>226.3</v>
      </c>
      <c r="I64" s="53" t="s">
        <v>928</v>
      </c>
      <c r="J64" s="60">
        <v>1.25</v>
      </c>
      <c r="K64" s="60">
        <v>1.23</v>
      </c>
      <c r="L64" s="60">
        <v>1.2</v>
      </c>
    </row>
    <row r="65" spans="1:12" ht="68.25" customHeight="1">
      <c r="A65" s="632"/>
      <c r="B65" s="117" t="s">
        <v>266</v>
      </c>
      <c r="C65" s="57" t="s">
        <v>209</v>
      </c>
      <c r="D65" s="634">
        <v>703</v>
      </c>
      <c r="E65" s="634" t="s">
        <v>931</v>
      </c>
      <c r="F65" s="635">
        <v>38.700000000000003</v>
      </c>
      <c r="G65" s="64">
        <v>36.799999999999997</v>
      </c>
      <c r="H65" s="63">
        <v>35.200000000000003</v>
      </c>
      <c r="I65" s="53" t="s">
        <v>928</v>
      </c>
      <c r="J65" s="60">
        <v>1.25</v>
      </c>
      <c r="K65" s="60">
        <v>1.23</v>
      </c>
      <c r="L65" s="60">
        <v>1.2</v>
      </c>
    </row>
    <row r="66" spans="1:12" s="3" customFormat="1" ht="47.25">
      <c r="A66" s="29"/>
      <c r="B66" s="70" t="s">
        <v>267</v>
      </c>
      <c r="C66" s="69"/>
      <c r="D66" s="71"/>
      <c r="E66" s="32">
        <v>520050000</v>
      </c>
      <c r="F66" s="71">
        <f>F67</f>
        <v>8.1</v>
      </c>
      <c r="G66" s="71">
        <f t="shared" ref="G66:H66" si="11">G67</f>
        <v>7.7</v>
      </c>
      <c r="H66" s="71">
        <f t="shared" si="11"/>
        <v>7.4</v>
      </c>
      <c r="I66" s="2" t="s">
        <v>927</v>
      </c>
      <c r="J66" s="59">
        <v>168</v>
      </c>
      <c r="K66" s="58">
        <v>164</v>
      </c>
      <c r="L66" s="58">
        <v>160</v>
      </c>
    </row>
    <row r="67" spans="1:12" ht="81" customHeight="1">
      <c r="A67" s="632"/>
      <c r="B67" s="117" t="s">
        <v>268</v>
      </c>
      <c r="C67" s="637" t="s">
        <v>245</v>
      </c>
      <c r="D67" s="34" t="s">
        <v>14</v>
      </c>
      <c r="E67" s="634" t="s">
        <v>932</v>
      </c>
      <c r="F67" s="635">
        <v>8.1</v>
      </c>
      <c r="G67" s="64">
        <v>7.7</v>
      </c>
      <c r="H67" s="63">
        <v>7.4</v>
      </c>
      <c r="I67" s="2" t="s">
        <v>927</v>
      </c>
      <c r="J67" s="59">
        <v>168</v>
      </c>
      <c r="K67" s="58">
        <v>164</v>
      </c>
      <c r="L67" s="58">
        <v>160</v>
      </c>
    </row>
    <row r="68" spans="1:12" s="3" customFormat="1" ht="99.75" customHeight="1">
      <c r="A68" s="29"/>
      <c r="B68" s="70" t="s">
        <v>269</v>
      </c>
      <c r="C68" s="69"/>
      <c r="D68" s="71"/>
      <c r="E68" s="32">
        <v>520060000</v>
      </c>
      <c r="F68" s="71">
        <f>F70+F71</f>
        <v>80.099999999999994</v>
      </c>
      <c r="G68" s="71">
        <f t="shared" ref="G68:H68" si="12">G70+G71</f>
        <v>76</v>
      </c>
      <c r="H68" s="71">
        <f t="shared" si="12"/>
        <v>72.8</v>
      </c>
      <c r="I68" s="53" t="s">
        <v>928</v>
      </c>
      <c r="J68" s="60">
        <v>1.25</v>
      </c>
      <c r="K68" s="60">
        <v>1.23</v>
      </c>
      <c r="L68" s="60">
        <v>1.2</v>
      </c>
    </row>
    <row r="69" spans="1:12" ht="105.75" hidden="1" customHeight="1">
      <c r="A69" s="632"/>
      <c r="B69" s="117" t="s">
        <v>345</v>
      </c>
      <c r="C69" s="637"/>
      <c r="D69" s="635"/>
      <c r="E69" s="635" t="s">
        <v>271</v>
      </c>
      <c r="F69" s="635">
        <v>0</v>
      </c>
      <c r="G69" s="64"/>
      <c r="H69" s="63">
        <v>0</v>
      </c>
      <c r="I69" s="53" t="s">
        <v>928</v>
      </c>
      <c r="J69" s="60">
        <v>1.25</v>
      </c>
      <c r="K69" s="60">
        <v>1.23</v>
      </c>
      <c r="L69" s="60">
        <v>1.2</v>
      </c>
    </row>
    <row r="70" spans="1:12" ht="135" customHeight="1">
      <c r="A70" s="632"/>
      <c r="B70" s="117" t="s">
        <v>933</v>
      </c>
      <c r="C70" s="637" t="s">
        <v>209</v>
      </c>
      <c r="D70" s="34" t="s">
        <v>934</v>
      </c>
      <c r="E70" s="635" t="s">
        <v>935</v>
      </c>
      <c r="F70" s="635">
        <v>30.6</v>
      </c>
      <c r="G70" s="64">
        <v>29</v>
      </c>
      <c r="H70" s="63">
        <v>27.8</v>
      </c>
      <c r="I70" s="53" t="s">
        <v>928</v>
      </c>
      <c r="J70" s="60">
        <v>1.25</v>
      </c>
      <c r="K70" s="60">
        <v>1.23</v>
      </c>
      <c r="L70" s="60">
        <v>1.2</v>
      </c>
    </row>
    <row r="71" spans="1:12" ht="82.5" customHeight="1">
      <c r="A71" s="632"/>
      <c r="B71" s="637" t="s">
        <v>270</v>
      </c>
      <c r="C71" s="637" t="s">
        <v>209</v>
      </c>
      <c r="D71" s="634">
        <v>703</v>
      </c>
      <c r="E71" s="635" t="s">
        <v>344</v>
      </c>
      <c r="F71" s="635">
        <v>49.5</v>
      </c>
      <c r="G71" s="635">
        <v>47</v>
      </c>
      <c r="H71" s="286">
        <v>45</v>
      </c>
      <c r="I71" s="53" t="s">
        <v>928</v>
      </c>
      <c r="J71" s="60">
        <v>1.25</v>
      </c>
      <c r="K71" s="60">
        <v>1.23</v>
      </c>
      <c r="L71" s="60">
        <v>1.2</v>
      </c>
    </row>
    <row r="72" spans="1:12" s="3" customFormat="1" ht="63" customHeight="1">
      <c r="A72" s="29"/>
      <c r="B72" s="70" t="s">
        <v>272</v>
      </c>
      <c r="C72" s="69"/>
      <c r="D72" s="71"/>
      <c r="E72" s="32">
        <v>520070000</v>
      </c>
      <c r="F72" s="130">
        <f>F73+F74+F75</f>
        <v>900</v>
      </c>
      <c r="G72" s="130">
        <f t="shared" ref="G72:H72" si="13">G73+G74+G75</f>
        <v>855</v>
      </c>
      <c r="H72" s="130">
        <f t="shared" si="13"/>
        <v>91</v>
      </c>
      <c r="I72" s="53" t="s">
        <v>465</v>
      </c>
      <c r="J72" s="24">
        <v>39.299999999999997</v>
      </c>
      <c r="K72" s="282">
        <v>38.51</v>
      </c>
      <c r="L72" s="282">
        <v>37.74</v>
      </c>
    </row>
    <row r="73" spans="1:12" ht="35.25" customHeight="1">
      <c r="A73" s="632"/>
      <c r="B73" s="848" t="s">
        <v>273</v>
      </c>
      <c r="C73" s="637" t="s">
        <v>209</v>
      </c>
      <c r="D73" s="635" t="s">
        <v>201</v>
      </c>
      <c r="E73" s="840" t="s">
        <v>919</v>
      </c>
      <c r="F73" s="635">
        <v>500</v>
      </c>
      <c r="G73" s="64">
        <v>475</v>
      </c>
      <c r="H73" s="64">
        <v>0</v>
      </c>
      <c r="I73" s="839" t="s">
        <v>465</v>
      </c>
      <c r="J73" s="128">
        <v>39.299999999999997</v>
      </c>
      <c r="K73" s="282">
        <v>38.51</v>
      </c>
      <c r="L73" s="282">
        <v>37.74</v>
      </c>
    </row>
    <row r="74" spans="1:12" ht="40.5" customHeight="1">
      <c r="A74" s="632"/>
      <c r="B74" s="848"/>
      <c r="C74" s="637" t="s">
        <v>245</v>
      </c>
      <c r="D74" s="34" t="s">
        <v>14</v>
      </c>
      <c r="E74" s="840"/>
      <c r="F74" s="635">
        <v>100</v>
      </c>
      <c r="G74" s="64">
        <v>95</v>
      </c>
      <c r="H74" s="64">
        <v>91</v>
      </c>
      <c r="I74" s="839"/>
      <c r="J74" s="128">
        <v>39.299999999999997</v>
      </c>
      <c r="K74" s="282">
        <v>38.51</v>
      </c>
      <c r="L74" s="282">
        <v>37.74</v>
      </c>
    </row>
    <row r="75" spans="1:12" ht="39.75" customHeight="1">
      <c r="A75" s="632"/>
      <c r="B75" s="848"/>
      <c r="C75" s="637" t="s">
        <v>441</v>
      </c>
      <c r="D75" s="640" t="s">
        <v>27</v>
      </c>
      <c r="E75" s="840"/>
      <c r="F75" s="635">
        <v>300</v>
      </c>
      <c r="G75" s="64">
        <v>285</v>
      </c>
      <c r="H75" s="63">
        <v>0</v>
      </c>
      <c r="I75" s="839"/>
      <c r="J75" s="128">
        <v>39.299999999999997</v>
      </c>
      <c r="K75" s="282">
        <v>38.51</v>
      </c>
      <c r="L75" s="282">
        <v>37.74</v>
      </c>
    </row>
    <row r="76" spans="1:12" ht="56.25" customHeight="1">
      <c r="A76" s="632"/>
      <c r="B76" s="283" t="s">
        <v>274</v>
      </c>
      <c r="C76" s="73"/>
      <c r="D76" s="631"/>
      <c r="E76" s="631">
        <v>530000000</v>
      </c>
      <c r="F76" s="631">
        <f>F77</f>
        <v>19277.599999999999</v>
      </c>
      <c r="G76" s="631">
        <f t="shared" ref="G76:H76" si="14">G77</f>
        <v>18314.3</v>
      </c>
      <c r="H76" s="631">
        <f t="shared" si="14"/>
        <v>17543.400000000001</v>
      </c>
      <c r="I76" s="839" t="s">
        <v>918</v>
      </c>
      <c r="J76" s="285" t="s">
        <v>349</v>
      </c>
      <c r="K76" s="285" t="s">
        <v>349</v>
      </c>
      <c r="L76" s="285" t="s">
        <v>349</v>
      </c>
    </row>
    <row r="77" spans="1:12" ht="31.5">
      <c r="A77" s="632"/>
      <c r="B77" s="72" t="s">
        <v>275</v>
      </c>
      <c r="C77" s="73"/>
      <c r="D77" s="12" t="s">
        <v>10</v>
      </c>
      <c r="E77" s="631">
        <v>530100000</v>
      </c>
      <c r="F77" s="631">
        <f>F79+F78</f>
        <v>19277.599999999999</v>
      </c>
      <c r="G77" s="631">
        <f t="shared" ref="G77:H77" si="15">G79+G78</f>
        <v>18314.3</v>
      </c>
      <c r="H77" s="631">
        <f t="shared" si="15"/>
        <v>17543.400000000001</v>
      </c>
      <c r="I77" s="839"/>
      <c r="J77" s="285" t="s">
        <v>349</v>
      </c>
      <c r="K77" s="285" t="s">
        <v>349</v>
      </c>
      <c r="L77" s="285" t="s">
        <v>349</v>
      </c>
    </row>
    <row r="78" spans="1:12" ht="15.75">
      <c r="A78" s="632"/>
      <c r="B78" s="827" t="s">
        <v>276</v>
      </c>
      <c r="C78" s="73" t="s">
        <v>245</v>
      </c>
      <c r="D78" s="640" t="s">
        <v>10</v>
      </c>
      <c r="E78" s="634">
        <v>530100110</v>
      </c>
      <c r="F78" s="74">
        <v>11040.1</v>
      </c>
      <c r="G78" s="74">
        <v>10488.9</v>
      </c>
      <c r="H78" s="74">
        <v>10047.200000000001</v>
      </c>
      <c r="I78" s="839"/>
      <c r="J78" s="285"/>
      <c r="K78" s="285"/>
      <c r="L78" s="285"/>
    </row>
    <row r="79" spans="1:12" ht="34.5" customHeight="1">
      <c r="A79" s="632"/>
      <c r="B79" s="828"/>
      <c r="C79" s="73" t="s">
        <v>245</v>
      </c>
      <c r="D79" s="640" t="s">
        <v>429</v>
      </c>
      <c r="E79" s="634">
        <v>530100110</v>
      </c>
      <c r="F79" s="74">
        <v>8237.5</v>
      </c>
      <c r="G79" s="74">
        <v>7825.4</v>
      </c>
      <c r="H79" s="74">
        <v>7496.2</v>
      </c>
      <c r="I79" s="839"/>
      <c r="J79" s="285" t="s">
        <v>349</v>
      </c>
      <c r="K79" s="285" t="s">
        <v>349</v>
      </c>
      <c r="L79" s="285" t="s">
        <v>349</v>
      </c>
    </row>
  </sheetData>
  <mergeCells count="42">
    <mergeCell ref="L46:L47"/>
    <mergeCell ref="B73:B75"/>
    <mergeCell ref="E73:E75"/>
    <mergeCell ref="I73:I75"/>
    <mergeCell ref="I76:I79"/>
    <mergeCell ref="B78:B79"/>
    <mergeCell ref="K46:K47"/>
    <mergeCell ref="A46:A47"/>
    <mergeCell ref="B46:B48"/>
    <mergeCell ref="E46:E47"/>
    <mergeCell ref="I46:I47"/>
    <mergeCell ref="J46:J47"/>
    <mergeCell ref="L29:L30"/>
    <mergeCell ref="B22:B24"/>
    <mergeCell ref="E22:E24"/>
    <mergeCell ref="I22:I24"/>
    <mergeCell ref="J22:J24"/>
    <mergeCell ref="K22:K24"/>
    <mergeCell ref="L22:L24"/>
    <mergeCell ref="B29:B30"/>
    <mergeCell ref="E29:E30"/>
    <mergeCell ref="I29:I30"/>
    <mergeCell ref="J29:J30"/>
    <mergeCell ref="K29:K30"/>
    <mergeCell ref="L14:L15"/>
    <mergeCell ref="B17:B18"/>
    <mergeCell ref="D17:D18"/>
    <mergeCell ref="E17:E18"/>
    <mergeCell ref="I17:I18"/>
    <mergeCell ref="J17:J18"/>
    <mergeCell ref="K17:K18"/>
    <mergeCell ref="L17:L18"/>
    <mergeCell ref="B14:B15"/>
    <mergeCell ref="E14:E15"/>
    <mergeCell ref="I14:I15"/>
    <mergeCell ref="J14:J15"/>
    <mergeCell ref="K14:K15"/>
    <mergeCell ref="A7:A9"/>
    <mergeCell ref="B7:B9"/>
    <mergeCell ref="C7:E8"/>
    <mergeCell ref="I7:I9"/>
    <mergeCell ref="J7:L8"/>
  </mergeCells>
  <pageMargins left="0.31496062992125984" right="0.11811023622047245" top="0.19685039370078741" bottom="0.19685039370078741" header="0.15748031496062992" footer="0.19685039370078741"/>
  <pageSetup paperSize="9" scale="64" orientation="landscape" r:id="rId1"/>
  <rowBreaks count="2" manualBreakCount="2">
    <brk id="24" max="11" man="1"/>
    <brk id="34" max="11" man="1"/>
  </rowBreaks>
</worksheet>
</file>

<file path=xl/worksheets/sheet6.xml><?xml version="1.0" encoding="utf-8"?>
<worksheet xmlns="http://schemas.openxmlformats.org/spreadsheetml/2006/main" xmlns:r="http://schemas.openxmlformats.org/officeDocument/2006/relationships">
  <sheetPr>
    <tabColor rgb="FF92D050"/>
  </sheetPr>
  <dimension ref="A1:P28"/>
  <sheetViews>
    <sheetView zoomScale="78" zoomScaleNormal="78" workbookViewId="0">
      <selection activeCell="G10" sqref="G10"/>
    </sheetView>
  </sheetViews>
  <sheetFormatPr defaultRowHeight="15"/>
  <cols>
    <col min="2" max="2" width="58.7109375" customWidth="1"/>
    <col min="3" max="3" width="15.42578125" customWidth="1"/>
    <col min="5" max="5" width="12.85546875" customWidth="1"/>
    <col min="6" max="6" width="0" hidden="1" customWidth="1"/>
    <col min="8" max="8" width="6.5703125" hidden="1" customWidth="1"/>
    <col min="9" max="9" width="0" hidden="1" customWidth="1"/>
    <col min="10" max="10" width="17.5703125" hidden="1" customWidth="1"/>
    <col min="11" max="11" width="8" customWidth="1"/>
    <col min="13" max="13" width="37.85546875" customWidth="1"/>
    <col min="14" max="14" width="8.28515625" customWidth="1"/>
    <col min="15" max="15" width="7.7109375" customWidth="1"/>
    <col min="16" max="16" width="7.28515625" customWidth="1"/>
  </cols>
  <sheetData>
    <row r="1" spans="1:16">
      <c r="A1" s="13"/>
      <c r="B1" s="14"/>
      <c r="C1" s="15"/>
      <c r="D1" s="15"/>
      <c r="E1" s="15"/>
      <c r="F1" s="13"/>
      <c r="G1" s="13"/>
      <c r="H1" s="13"/>
      <c r="I1" s="13"/>
      <c r="J1" s="16"/>
      <c r="K1" s="13"/>
      <c r="L1" s="13"/>
      <c r="M1" s="17"/>
      <c r="N1" s="51" t="s">
        <v>51</v>
      </c>
      <c r="O1" s="13"/>
      <c r="P1" s="13"/>
    </row>
    <row r="2" spans="1:16">
      <c r="A2" s="13"/>
      <c r="B2" s="14"/>
      <c r="C2" s="15"/>
      <c r="D2" s="15"/>
      <c r="E2" s="15"/>
      <c r="F2" s="13"/>
      <c r="G2" s="13"/>
      <c r="H2" s="13"/>
      <c r="I2" s="13"/>
      <c r="J2" s="16"/>
      <c r="K2" s="13"/>
      <c r="L2" s="13"/>
      <c r="M2" s="17"/>
      <c r="N2" s="51" t="s">
        <v>49</v>
      </c>
      <c r="O2" s="13"/>
      <c r="P2" s="13"/>
    </row>
    <row r="3" spans="1:16" ht="15.75">
      <c r="A3" s="817" t="s">
        <v>15</v>
      </c>
      <c r="B3" s="817"/>
      <c r="C3" s="817"/>
      <c r="D3" s="817"/>
      <c r="E3" s="817"/>
      <c r="F3" s="817"/>
      <c r="G3" s="817"/>
      <c r="H3" s="817"/>
      <c r="I3" s="817"/>
      <c r="J3" s="817"/>
      <c r="K3" s="817"/>
      <c r="L3" s="817"/>
      <c r="M3" s="817"/>
      <c r="N3" s="817"/>
      <c r="O3" s="817"/>
      <c r="P3" s="817"/>
    </row>
    <row r="4" spans="1:16" ht="15.75">
      <c r="A4" s="868" t="s">
        <v>411</v>
      </c>
      <c r="B4" s="868"/>
      <c r="C4" s="868"/>
      <c r="D4" s="868"/>
      <c r="E4" s="868"/>
      <c r="F4" s="868"/>
      <c r="G4" s="868"/>
      <c r="H4" s="868"/>
      <c r="I4" s="868"/>
      <c r="J4" s="868"/>
      <c r="K4" s="868"/>
      <c r="L4" s="868"/>
      <c r="M4" s="868"/>
      <c r="N4" s="868"/>
      <c r="O4" s="868"/>
      <c r="P4" s="868"/>
    </row>
    <row r="5" spans="1:16" ht="15.75">
      <c r="A5" s="96"/>
      <c r="B5" s="96"/>
      <c r="C5" s="96"/>
      <c r="D5" s="96"/>
      <c r="E5" s="96"/>
      <c r="F5" s="96"/>
      <c r="G5" s="96"/>
      <c r="H5" s="96"/>
      <c r="I5" s="96"/>
      <c r="J5" s="96"/>
      <c r="K5" s="96"/>
      <c r="L5" s="96"/>
      <c r="M5" s="96"/>
      <c r="N5" s="96"/>
      <c r="O5" s="96"/>
      <c r="P5" s="96"/>
    </row>
    <row r="6" spans="1:16">
      <c r="A6" s="869" t="s">
        <v>16</v>
      </c>
      <c r="B6" s="872" t="s">
        <v>220</v>
      </c>
      <c r="C6" s="875" t="s">
        <v>0</v>
      </c>
      <c r="D6" s="875"/>
      <c r="E6" s="875"/>
      <c r="F6" s="876" t="s">
        <v>221</v>
      </c>
      <c r="G6" s="876"/>
      <c r="H6" s="876"/>
      <c r="I6" s="876"/>
      <c r="J6" s="876"/>
      <c r="K6" s="876"/>
      <c r="L6" s="876"/>
      <c r="M6" s="877" t="s">
        <v>1</v>
      </c>
      <c r="N6" s="877" t="s">
        <v>2</v>
      </c>
      <c r="O6" s="877"/>
      <c r="P6" s="877"/>
    </row>
    <row r="7" spans="1:16">
      <c r="A7" s="870"/>
      <c r="B7" s="873"/>
      <c r="C7" s="875"/>
      <c r="D7" s="875"/>
      <c r="E7" s="875"/>
      <c r="F7" s="876"/>
      <c r="G7" s="876"/>
      <c r="H7" s="876"/>
      <c r="I7" s="876"/>
      <c r="J7" s="876"/>
      <c r="K7" s="876"/>
      <c r="L7" s="876"/>
      <c r="M7" s="877"/>
      <c r="N7" s="877"/>
      <c r="O7" s="877"/>
      <c r="P7" s="877"/>
    </row>
    <row r="8" spans="1:16" ht="24">
      <c r="A8" s="871"/>
      <c r="B8" s="874"/>
      <c r="C8" s="99" t="s">
        <v>3</v>
      </c>
      <c r="D8" s="99" t="s">
        <v>4</v>
      </c>
      <c r="E8" s="99" t="s">
        <v>5</v>
      </c>
      <c r="F8" s="100" t="s">
        <v>412</v>
      </c>
      <c r="G8" s="100" t="s">
        <v>222</v>
      </c>
      <c r="H8" s="100" t="s">
        <v>6</v>
      </c>
      <c r="I8" s="100" t="s">
        <v>413</v>
      </c>
      <c r="J8" s="100" t="s">
        <v>17</v>
      </c>
      <c r="K8" s="100" t="s">
        <v>314</v>
      </c>
      <c r="L8" s="100" t="s">
        <v>314</v>
      </c>
      <c r="M8" s="877"/>
      <c r="N8" s="101" t="s">
        <v>219</v>
      </c>
      <c r="O8" s="101" t="s">
        <v>373</v>
      </c>
      <c r="P8" s="101" t="s">
        <v>414</v>
      </c>
    </row>
    <row r="9" spans="1:16" ht="15.75">
      <c r="A9" s="95">
        <v>1</v>
      </c>
      <c r="B9" s="98">
        <v>2</v>
      </c>
      <c r="C9" s="95">
        <v>3</v>
      </c>
      <c r="D9" s="95">
        <v>4</v>
      </c>
      <c r="E9" s="95">
        <v>5</v>
      </c>
      <c r="F9" s="98">
        <v>6</v>
      </c>
      <c r="G9" s="98">
        <v>7</v>
      </c>
      <c r="H9" s="98" t="s">
        <v>190</v>
      </c>
      <c r="I9" s="98">
        <v>9</v>
      </c>
      <c r="J9" s="27">
        <v>10</v>
      </c>
      <c r="K9" s="98">
        <v>11</v>
      </c>
      <c r="L9" s="98">
        <v>12</v>
      </c>
      <c r="M9" s="97">
        <v>13</v>
      </c>
      <c r="N9" s="93">
        <v>14</v>
      </c>
      <c r="O9" s="93">
        <v>15</v>
      </c>
      <c r="P9" s="93">
        <v>16</v>
      </c>
    </row>
    <row r="10" spans="1:16" ht="38.25">
      <c r="A10" s="102"/>
      <c r="B10" s="103" t="s">
        <v>415</v>
      </c>
      <c r="C10" s="452" t="s">
        <v>1096</v>
      </c>
      <c r="D10" s="33" t="s">
        <v>8</v>
      </c>
      <c r="E10" s="452" t="s">
        <v>1095</v>
      </c>
      <c r="F10" s="104">
        <f>F11+F26</f>
        <v>4380.7000000000007</v>
      </c>
      <c r="G10" s="104">
        <f>G11+G26</f>
        <v>4821.7000000000007</v>
      </c>
      <c r="H10" s="104">
        <f>H11+H26</f>
        <v>441</v>
      </c>
      <c r="I10" s="104">
        <f>G10/F10*100</f>
        <v>110.06688428789919</v>
      </c>
      <c r="J10" s="105" t="s">
        <v>416</v>
      </c>
      <c r="K10" s="106">
        <f>K11+K26</f>
        <v>4567.5</v>
      </c>
      <c r="L10" s="106">
        <f>L11+L26</f>
        <v>4368.5</v>
      </c>
      <c r="M10" s="107"/>
      <c r="N10" s="18"/>
      <c r="O10" s="18"/>
      <c r="P10" s="18"/>
    </row>
    <row r="11" spans="1:16" ht="30">
      <c r="A11" s="108">
        <v>1</v>
      </c>
      <c r="B11" s="109" t="s">
        <v>316</v>
      </c>
      <c r="C11" s="452" t="s">
        <v>1096</v>
      </c>
      <c r="D11" s="110" t="s">
        <v>47</v>
      </c>
      <c r="E11" s="110" t="s">
        <v>317</v>
      </c>
      <c r="F11" s="111">
        <f>F12+F19+F22</f>
        <v>4380.7000000000007</v>
      </c>
      <c r="G11" s="111">
        <f>G12+G19+G22</f>
        <v>4771.7000000000007</v>
      </c>
      <c r="H11" s="111">
        <f t="shared" ref="H11:L11" si="0">H12+H19+H22</f>
        <v>391</v>
      </c>
      <c r="I11" s="104">
        <f>G11/F11*100</f>
        <v>108.92551418723035</v>
      </c>
      <c r="J11" s="112"/>
      <c r="K11" s="113">
        <f t="shared" si="0"/>
        <v>4520</v>
      </c>
      <c r="L11" s="113">
        <f t="shared" si="0"/>
        <v>4323</v>
      </c>
      <c r="M11" s="114"/>
      <c r="N11" s="115"/>
      <c r="O11" s="115"/>
      <c r="P11" s="115"/>
    </row>
    <row r="12" spans="1:16" ht="15.75">
      <c r="A12" s="858" t="s">
        <v>191</v>
      </c>
      <c r="B12" s="860" t="s">
        <v>213</v>
      </c>
      <c r="C12" s="834" t="s">
        <v>1097</v>
      </c>
      <c r="D12" s="862" t="s">
        <v>47</v>
      </c>
      <c r="E12" s="862" t="s">
        <v>318</v>
      </c>
      <c r="F12" s="852">
        <f>F14+F15+F17+F18</f>
        <v>3900.6</v>
      </c>
      <c r="G12" s="852">
        <f>G14+G15+G17+G18</f>
        <v>4300.6000000000004</v>
      </c>
      <c r="H12" s="852">
        <f>H14+H15+H17+H18</f>
        <v>400</v>
      </c>
      <c r="I12" s="854">
        <f t="shared" ref="I12:I25" si="1">G12/F12*100</f>
        <v>110.25483258985798</v>
      </c>
      <c r="J12" s="866"/>
      <c r="K12" s="864">
        <f>K14+K15+K17+K18</f>
        <v>4085.6</v>
      </c>
      <c r="L12" s="864">
        <f>L14+L15+L17+L18</f>
        <v>3913.5</v>
      </c>
      <c r="M12" s="19" t="s">
        <v>319</v>
      </c>
      <c r="N12" s="115">
        <v>32</v>
      </c>
      <c r="O12" s="115">
        <v>32.5</v>
      </c>
      <c r="P12" s="115">
        <v>32.5</v>
      </c>
    </row>
    <row r="13" spans="1:16" ht="15.75">
      <c r="A13" s="859"/>
      <c r="B13" s="861"/>
      <c r="C13" s="835"/>
      <c r="D13" s="863"/>
      <c r="E13" s="863"/>
      <c r="F13" s="853"/>
      <c r="G13" s="853"/>
      <c r="H13" s="853"/>
      <c r="I13" s="855"/>
      <c r="J13" s="867"/>
      <c r="K13" s="865"/>
      <c r="L13" s="865"/>
      <c r="M13" s="19" t="s">
        <v>320</v>
      </c>
      <c r="N13" s="115">
        <v>4960</v>
      </c>
      <c r="O13" s="115">
        <v>4960</v>
      </c>
      <c r="P13" s="115">
        <v>4960</v>
      </c>
    </row>
    <row r="14" spans="1:16" ht="15.75">
      <c r="A14" s="33" t="s">
        <v>186</v>
      </c>
      <c r="B14" s="109" t="s">
        <v>224</v>
      </c>
      <c r="C14" s="453" t="s">
        <v>1097</v>
      </c>
      <c r="D14" s="110" t="s">
        <v>47</v>
      </c>
      <c r="E14" s="110" t="s">
        <v>321</v>
      </c>
      <c r="F14" s="111">
        <v>192.1</v>
      </c>
      <c r="G14" s="111">
        <v>192.1</v>
      </c>
      <c r="H14" s="111">
        <f>G14-F14</f>
        <v>0</v>
      </c>
      <c r="I14" s="104">
        <f t="shared" si="1"/>
        <v>100</v>
      </c>
      <c r="J14" s="5"/>
      <c r="K14" s="111">
        <v>182.5</v>
      </c>
      <c r="L14" s="111">
        <v>174.8</v>
      </c>
      <c r="M14" s="19" t="s">
        <v>322</v>
      </c>
      <c r="N14" s="115">
        <v>5</v>
      </c>
      <c r="O14" s="115">
        <v>5</v>
      </c>
      <c r="P14" s="115">
        <v>5</v>
      </c>
    </row>
    <row r="15" spans="1:16" ht="26.25">
      <c r="A15" s="858" t="s">
        <v>192</v>
      </c>
      <c r="B15" s="860" t="s">
        <v>225</v>
      </c>
      <c r="C15" s="834" t="s">
        <v>1097</v>
      </c>
      <c r="D15" s="862" t="s">
        <v>47</v>
      </c>
      <c r="E15" s="862" t="s">
        <v>323</v>
      </c>
      <c r="F15" s="852">
        <v>3600</v>
      </c>
      <c r="G15" s="852">
        <v>4000</v>
      </c>
      <c r="H15" s="852">
        <f t="shared" ref="H15:H28" si="2">G15-F15</f>
        <v>400</v>
      </c>
      <c r="I15" s="854">
        <f t="shared" si="1"/>
        <v>111.11111111111111</v>
      </c>
      <c r="J15" s="856"/>
      <c r="K15" s="852">
        <v>3800</v>
      </c>
      <c r="L15" s="852">
        <v>3640</v>
      </c>
      <c r="M15" s="19" t="s">
        <v>324</v>
      </c>
      <c r="N15" s="115">
        <v>26.4</v>
      </c>
      <c r="O15" s="115">
        <v>26.4</v>
      </c>
      <c r="P15" s="115">
        <v>26.4</v>
      </c>
    </row>
    <row r="16" spans="1:16" ht="15.75">
      <c r="A16" s="859"/>
      <c r="B16" s="861"/>
      <c r="C16" s="835"/>
      <c r="D16" s="863"/>
      <c r="E16" s="863"/>
      <c r="F16" s="853"/>
      <c r="G16" s="853"/>
      <c r="H16" s="853"/>
      <c r="I16" s="855"/>
      <c r="J16" s="857"/>
      <c r="K16" s="853"/>
      <c r="L16" s="853"/>
      <c r="M16" s="19" t="s">
        <v>325</v>
      </c>
      <c r="N16" s="115">
        <v>35.5</v>
      </c>
      <c r="O16" s="115">
        <v>35.5</v>
      </c>
      <c r="P16" s="115">
        <v>35.5</v>
      </c>
    </row>
    <row r="17" spans="1:16" ht="30">
      <c r="A17" s="33" t="s">
        <v>226</v>
      </c>
      <c r="B17" s="109" t="s">
        <v>227</v>
      </c>
      <c r="C17" s="453" t="s">
        <v>1097</v>
      </c>
      <c r="D17" s="110" t="s">
        <v>47</v>
      </c>
      <c r="E17" s="110" t="s">
        <v>326</v>
      </c>
      <c r="F17" s="111">
        <v>8.5</v>
      </c>
      <c r="G17" s="111">
        <v>8.5</v>
      </c>
      <c r="H17" s="111">
        <f t="shared" si="2"/>
        <v>0</v>
      </c>
      <c r="I17" s="104">
        <f t="shared" si="1"/>
        <v>100</v>
      </c>
      <c r="J17" s="5"/>
      <c r="K17" s="111">
        <v>8.1</v>
      </c>
      <c r="L17" s="111">
        <v>7.7</v>
      </c>
      <c r="M17" s="19" t="s">
        <v>228</v>
      </c>
      <c r="N17" s="115">
        <v>2</v>
      </c>
      <c r="O17" s="115">
        <v>2</v>
      </c>
      <c r="P17" s="115">
        <v>2</v>
      </c>
    </row>
    <row r="18" spans="1:16" ht="15.75">
      <c r="A18" s="33" t="s">
        <v>229</v>
      </c>
      <c r="B18" s="109" t="s">
        <v>230</v>
      </c>
      <c r="C18" s="453" t="s">
        <v>1097</v>
      </c>
      <c r="D18" s="110" t="s">
        <v>47</v>
      </c>
      <c r="E18" s="110" t="s">
        <v>327</v>
      </c>
      <c r="F18" s="111">
        <v>100</v>
      </c>
      <c r="G18" s="111">
        <v>100</v>
      </c>
      <c r="H18" s="111">
        <f t="shared" si="2"/>
        <v>0</v>
      </c>
      <c r="I18" s="104">
        <f t="shared" si="1"/>
        <v>100</v>
      </c>
      <c r="J18" s="5"/>
      <c r="K18" s="111">
        <v>95</v>
      </c>
      <c r="L18" s="111">
        <v>91</v>
      </c>
      <c r="M18" s="19" t="s">
        <v>328</v>
      </c>
      <c r="N18" s="115">
        <v>30</v>
      </c>
      <c r="O18" s="115">
        <v>30</v>
      </c>
      <c r="P18" s="115">
        <v>30</v>
      </c>
    </row>
    <row r="19" spans="1:16" ht="39">
      <c r="A19" s="33" t="s">
        <v>231</v>
      </c>
      <c r="B19" s="109" t="s">
        <v>232</v>
      </c>
      <c r="C19" s="453" t="s">
        <v>1097</v>
      </c>
      <c r="D19" s="110" t="s">
        <v>47</v>
      </c>
      <c r="E19" s="110" t="s">
        <v>329</v>
      </c>
      <c r="F19" s="111">
        <f>F20+F21</f>
        <v>450</v>
      </c>
      <c r="G19" s="111">
        <f t="shared" ref="G19" si="3">G20+G21</f>
        <v>450</v>
      </c>
      <c r="H19" s="111">
        <f t="shared" si="2"/>
        <v>0</v>
      </c>
      <c r="I19" s="104">
        <f t="shared" si="1"/>
        <v>100</v>
      </c>
      <c r="J19" s="5"/>
      <c r="K19" s="111">
        <v>427.5</v>
      </c>
      <c r="L19" s="111">
        <v>409.5</v>
      </c>
      <c r="M19" s="19" t="s">
        <v>330</v>
      </c>
      <c r="N19" s="115">
        <v>13</v>
      </c>
      <c r="O19" s="115">
        <v>14</v>
      </c>
      <c r="P19" s="115">
        <v>14</v>
      </c>
    </row>
    <row r="20" spans="1:16" ht="39">
      <c r="A20" s="33" t="s">
        <v>193</v>
      </c>
      <c r="B20" s="109" t="s">
        <v>233</v>
      </c>
      <c r="C20" s="453" t="s">
        <v>1097</v>
      </c>
      <c r="D20" s="110" t="s">
        <v>47</v>
      </c>
      <c r="E20" s="110" t="s">
        <v>331</v>
      </c>
      <c r="F20" s="111">
        <v>100</v>
      </c>
      <c r="G20" s="111">
        <v>100</v>
      </c>
      <c r="H20" s="111">
        <f t="shared" si="2"/>
        <v>0</v>
      </c>
      <c r="I20" s="104">
        <f t="shared" si="1"/>
        <v>100</v>
      </c>
      <c r="J20" s="19"/>
      <c r="K20" s="111">
        <v>95</v>
      </c>
      <c r="L20" s="111">
        <v>91</v>
      </c>
      <c r="M20" s="19" t="s">
        <v>332</v>
      </c>
      <c r="N20" s="115">
        <v>45</v>
      </c>
      <c r="O20" s="115">
        <v>45</v>
      </c>
      <c r="P20" s="115">
        <v>45</v>
      </c>
    </row>
    <row r="21" spans="1:16" ht="39">
      <c r="A21" s="33" t="s">
        <v>234</v>
      </c>
      <c r="B21" s="109" t="s">
        <v>235</v>
      </c>
      <c r="C21" s="453" t="s">
        <v>1097</v>
      </c>
      <c r="D21" s="110" t="s">
        <v>47</v>
      </c>
      <c r="E21" s="110" t="s">
        <v>333</v>
      </c>
      <c r="F21" s="111">
        <v>350</v>
      </c>
      <c r="G21" s="111">
        <v>350</v>
      </c>
      <c r="H21" s="111">
        <f t="shared" si="2"/>
        <v>0</v>
      </c>
      <c r="I21" s="104">
        <f t="shared" si="1"/>
        <v>100</v>
      </c>
      <c r="J21" s="5"/>
      <c r="K21" s="111">
        <v>332.5</v>
      </c>
      <c r="L21" s="111">
        <v>318.5</v>
      </c>
      <c r="M21" s="19" t="s">
        <v>330</v>
      </c>
      <c r="N21" s="115">
        <v>13</v>
      </c>
      <c r="O21" s="115">
        <v>14</v>
      </c>
      <c r="P21" s="115">
        <v>14</v>
      </c>
    </row>
    <row r="22" spans="1:16" ht="45">
      <c r="A22" s="33" t="s">
        <v>236</v>
      </c>
      <c r="B22" s="109" t="s">
        <v>334</v>
      </c>
      <c r="C22" s="453" t="s">
        <v>1097</v>
      </c>
      <c r="D22" s="110" t="s">
        <v>47</v>
      </c>
      <c r="E22" s="110" t="s">
        <v>335</v>
      </c>
      <c r="F22" s="111">
        <f>F23+F24+F25</f>
        <v>30.1</v>
      </c>
      <c r="G22" s="111">
        <f>G23+G24+G25</f>
        <v>21.1</v>
      </c>
      <c r="H22" s="111">
        <f t="shared" ref="H22" si="4">H23+H24+H25</f>
        <v>-9.0000000000000036</v>
      </c>
      <c r="I22" s="104">
        <f t="shared" si="1"/>
        <v>70.099667774086384</v>
      </c>
      <c r="J22" s="849" t="s">
        <v>1428</v>
      </c>
      <c r="K22" s="111">
        <f>K23+K24+K25</f>
        <v>6.8999999999999995</v>
      </c>
      <c r="L22" s="104">
        <f>L23+L24+L25</f>
        <v>0</v>
      </c>
      <c r="M22" s="5"/>
      <c r="N22" s="115"/>
      <c r="O22" s="115"/>
      <c r="P22" s="115"/>
    </row>
    <row r="23" spans="1:16" ht="30">
      <c r="A23" s="33" t="s">
        <v>194</v>
      </c>
      <c r="B23" s="109" t="s">
        <v>417</v>
      </c>
      <c r="C23" s="453" t="s">
        <v>1097</v>
      </c>
      <c r="D23" s="110" t="s">
        <v>47</v>
      </c>
      <c r="E23" s="110" t="s">
        <v>336</v>
      </c>
      <c r="F23" s="111">
        <v>20.100000000000001</v>
      </c>
      <c r="G23" s="111">
        <v>14.1</v>
      </c>
      <c r="H23" s="111">
        <f t="shared" si="2"/>
        <v>-6.0000000000000018</v>
      </c>
      <c r="I23" s="104">
        <f t="shared" si="1"/>
        <v>70.149253731343279</v>
      </c>
      <c r="J23" s="850"/>
      <c r="K23" s="111">
        <v>4.5999999999999996</v>
      </c>
      <c r="L23" s="111">
        <v>0</v>
      </c>
      <c r="M23" s="5"/>
      <c r="N23" s="115"/>
      <c r="O23" s="115"/>
      <c r="P23" s="115"/>
    </row>
    <row r="24" spans="1:16" ht="30">
      <c r="A24" s="33" t="s">
        <v>337</v>
      </c>
      <c r="B24" s="109" t="s">
        <v>418</v>
      </c>
      <c r="C24" s="453" t="s">
        <v>1097</v>
      </c>
      <c r="D24" s="110" t="s">
        <v>47</v>
      </c>
      <c r="E24" s="110" t="s">
        <v>336</v>
      </c>
      <c r="F24" s="111">
        <v>7.4</v>
      </c>
      <c r="G24" s="111">
        <v>5.2</v>
      </c>
      <c r="H24" s="111">
        <f t="shared" si="2"/>
        <v>-2.2000000000000002</v>
      </c>
      <c r="I24" s="104">
        <f t="shared" si="1"/>
        <v>70.270270270270274</v>
      </c>
      <c r="J24" s="850"/>
      <c r="K24" s="111">
        <v>1.7</v>
      </c>
      <c r="L24" s="111">
        <v>0</v>
      </c>
      <c r="M24" s="19"/>
      <c r="N24" s="115"/>
      <c r="O24" s="115"/>
      <c r="P24" s="115"/>
    </row>
    <row r="25" spans="1:16" ht="30">
      <c r="A25" s="33" t="s">
        <v>343</v>
      </c>
      <c r="B25" s="109" t="s">
        <v>419</v>
      </c>
      <c r="C25" s="453" t="s">
        <v>1097</v>
      </c>
      <c r="D25" s="110" t="s">
        <v>47</v>
      </c>
      <c r="E25" s="110" t="s">
        <v>338</v>
      </c>
      <c r="F25" s="111">
        <v>2.6</v>
      </c>
      <c r="G25" s="111">
        <v>1.8</v>
      </c>
      <c r="H25" s="111">
        <f t="shared" si="2"/>
        <v>-0.8</v>
      </c>
      <c r="I25" s="104">
        <f t="shared" si="1"/>
        <v>69.230769230769226</v>
      </c>
      <c r="J25" s="851"/>
      <c r="K25" s="111">
        <v>0.6</v>
      </c>
      <c r="L25" s="111">
        <v>0</v>
      </c>
      <c r="M25" s="19"/>
      <c r="N25" s="115"/>
      <c r="O25" s="115"/>
      <c r="P25" s="115"/>
    </row>
    <row r="26" spans="1:16" ht="15.75">
      <c r="A26" s="94" t="s">
        <v>46</v>
      </c>
      <c r="B26" s="109" t="s">
        <v>420</v>
      </c>
      <c r="C26" s="453" t="s">
        <v>1097</v>
      </c>
      <c r="D26" s="110" t="s">
        <v>8</v>
      </c>
      <c r="E26" s="110" t="s">
        <v>339</v>
      </c>
      <c r="F26" s="104">
        <f>F27+F28</f>
        <v>0</v>
      </c>
      <c r="G26" s="111">
        <f t="shared" ref="G26:L26" si="5">G28</f>
        <v>50</v>
      </c>
      <c r="H26" s="111">
        <f t="shared" si="2"/>
        <v>50</v>
      </c>
      <c r="I26" s="18"/>
      <c r="J26" s="849" t="s">
        <v>1427</v>
      </c>
      <c r="K26" s="111">
        <f t="shared" si="5"/>
        <v>47.5</v>
      </c>
      <c r="L26" s="111">
        <f t="shared" si="5"/>
        <v>45.5</v>
      </c>
      <c r="M26" s="19"/>
      <c r="N26" s="115"/>
      <c r="O26" s="115"/>
      <c r="P26" s="115"/>
    </row>
    <row r="27" spans="1:16" ht="30">
      <c r="A27" s="116" t="s">
        <v>341</v>
      </c>
      <c r="B27" s="26" t="s">
        <v>421</v>
      </c>
      <c r="C27" s="453" t="s">
        <v>1097</v>
      </c>
      <c r="D27" s="110" t="s">
        <v>8</v>
      </c>
      <c r="E27" s="110" t="s">
        <v>342</v>
      </c>
      <c r="F27" s="104">
        <f>F28</f>
        <v>0</v>
      </c>
      <c r="G27" s="104">
        <f>G28</f>
        <v>50</v>
      </c>
      <c r="H27" s="104">
        <f>H28</f>
        <v>50</v>
      </c>
      <c r="I27" s="18"/>
      <c r="J27" s="850"/>
      <c r="K27" s="104">
        <f t="shared" ref="K27:L27" si="6">K28</f>
        <v>47.5</v>
      </c>
      <c r="L27" s="104">
        <f t="shared" si="6"/>
        <v>45.5</v>
      </c>
      <c r="M27" s="19"/>
      <c r="N27" s="115"/>
      <c r="O27" s="115"/>
      <c r="P27" s="115"/>
    </row>
    <row r="28" spans="1:16" ht="39">
      <c r="A28" s="33" t="s">
        <v>239</v>
      </c>
      <c r="B28" s="26" t="s">
        <v>422</v>
      </c>
      <c r="C28" s="453" t="s">
        <v>1097</v>
      </c>
      <c r="D28" s="33" t="s">
        <v>30</v>
      </c>
      <c r="E28" s="110" t="s">
        <v>424</v>
      </c>
      <c r="F28" s="111">
        <v>0</v>
      </c>
      <c r="G28" s="111">
        <v>50</v>
      </c>
      <c r="H28" s="111">
        <f t="shared" si="2"/>
        <v>50</v>
      </c>
      <c r="I28" s="18"/>
      <c r="J28" s="851"/>
      <c r="K28" s="111">
        <v>47.5</v>
      </c>
      <c r="L28" s="111">
        <v>45.5</v>
      </c>
      <c r="M28" s="19" t="s">
        <v>423</v>
      </c>
      <c r="N28" s="115">
        <v>20</v>
      </c>
      <c r="O28" s="115">
        <v>20</v>
      </c>
      <c r="P28" s="115">
        <v>20</v>
      </c>
    </row>
  </sheetData>
  <mergeCells count="34">
    <mergeCell ref="A3:P3"/>
    <mergeCell ref="A4:P4"/>
    <mergeCell ref="A6:A8"/>
    <mergeCell ref="B6:B8"/>
    <mergeCell ref="C6:E7"/>
    <mergeCell ref="F6:L7"/>
    <mergeCell ref="M6:M8"/>
    <mergeCell ref="N6:P7"/>
    <mergeCell ref="L12:L13"/>
    <mergeCell ref="A12:A13"/>
    <mergeCell ref="B12:B13"/>
    <mergeCell ref="C12:C13"/>
    <mergeCell ref="D12:D13"/>
    <mergeCell ref="E12:E13"/>
    <mergeCell ref="F12:F13"/>
    <mergeCell ref="G12:G13"/>
    <mergeCell ref="H12:H13"/>
    <mergeCell ref="I12:I13"/>
    <mergeCell ref="J12:J13"/>
    <mergeCell ref="K12:K13"/>
    <mergeCell ref="K15:K16"/>
    <mergeCell ref="L15:L16"/>
    <mergeCell ref="A15:A16"/>
    <mergeCell ref="B15:B16"/>
    <mergeCell ref="C15:C16"/>
    <mergeCell ref="D15:D16"/>
    <mergeCell ref="E15:E16"/>
    <mergeCell ref="F15:F16"/>
    <mergeCell ref="J22:J25"/>
    <mergeCell ref="J26:J28"/>
    <mergeCell ref="G15:G16"/>
    <mergeCell ref="H15:H16"/>
    <mergeCell ref="I15:I16"/>
    <mergeCell ref="J15:J16"/>
  </mergeCells>
  <pageMargins left="0.11811023622047245" right="0.11811023622047245" top="0.15748031496062992" bottom="0.15748031496062992"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sheetPr>
    <tabColor rgb="FF92D050"/>
  </sheetPr>
  <dimension ref="A1:O86"/>
  <sheetViews>
    <sheetView topLeftCell="A4" zoomScale="80" zoomScaleNormal="80" workbookViewId="0">
      <selection activeCell="G78" sqref="G78"/>
    </sheetView>
  </sheetViews>
  <sheetFormatPr defaultColWidth="11.85546875" defaultRowHeight="15" outlineLevelRow="4"/>
  <cols>
    <col min="1" max="1" width="5.28515625" customWidth="1"/>
    <col min="2" max="2" width="30.5703125" customWidth="1"/>
    <col min="3" max="3" width="10.28515625" customWidth="1"/>
    <col min="4" max="4" width="9.42578125" customWidth="1"/>
    <col min="5" max="5" width="13.7109375" customWidth="1"/>
    <col min="6" max="6" width="11.85546875" hidden="1" customWidth="1"/>
    <col min="7" max="7" width="14.5703125" customWidth="1"/>
    <col min="8" max="9" width="15" customWidth="1"/>
    <col min="10" max="10" width="19.7109375" customWidth="1"/>
    <col min="11" max="11" width="13.7109375" customWidth="1"/>
    <col min="12" max="12" width="13.28515625" customWidth="1"/>
    <col min="13" max="13" width="13.140625" customWidth="1"/>
    <col min="14" max="14" width="11.85546875" hidden="1" customWidth="1"/>
    <col min="257" max="257" width="5.28515625" customWidth="1"/>
    <col min="258" max="258" width="27.28515625" customWidth="1"/>
    <col min="259" max="259" width="10.28515625" customWidth="1"/>
    <col min="260" max="260" width="9.42578125" customWidth="1"/>
    <col min="261" max="261" width="12.85546875" customWidth="1"/>
    <col min="262" max="262" width="0" hidden="1" customWidth="1"/>
    <col min="263" max="265" width="11.85546875" customWidth="1"/>
    <col min="266" max="266" width="18.85546875" customWidth="1"/>
    <col min="267" max="269" width="11.85546875" customWidth="1"/>
    <col min="270" max="270" width="0" hidden="1" customWidth="1"/>
    <col min="513" max="513" width="5.28515625" customWidth="1"/>
    <col min="514" max="514" width="27.28515625" customWidth="1"/>
    <col min="515" max="515" width="10.28515625" customWidth="1"/>
    <col min="516" max="516" width="9.42578125" customWidth="1"/>
    <col min="517" max="517" width="12.85546875" customWidth="1"/>
    <col min="518" max="518" width="0" hidden="1" customWidth="1"/>
    <col min="519" max="521" width="11.85546875" customWidth="1"/>
    <col min="522" max="522" width="18.85546875" customWidth="1"/>
    <col min="523" max="525" width="11.85546875" customWidth="1"/>
    <col min="526" max="526" width="0" hidden="1" customWidth="1"/>
    <col min="769" max="769" width="5.28515625" customWidth="1"/>
    <col min="770" max="770" width="27.28515625" customWidth="1"/>
    <col min="771" max="771" width="10.28515625" customWidth="1"/>
    <col min="772" max="772" width="9.42578125" customWidth="1"/>
    <col min="773" max="773" width="12.85546875" customWidth="1"/>
    <col min="774" max="774" width="0" hidden="1" customWidth="1"/>
    <col min="775" max="777" width="11.85546875" customWidth="1"/>
    <col min="778" max="778" width="18.85546875" customWidth="1"/>
    <col min="779" max="781" width="11.85546875" customWidth="1"/>
    <col min="782" max="782" width="0" hidden="1" customWidth="1"/>
    <col min="1025" max="1025" width="5.28515625" customWidth="1"/>
    <col min="1026" max="1026" width="27.28515625" customWidth="1"/>
    <col min="1027" max="1027" width="10.28515625" customWidth="1"/>
    <col min="1028" max="1028" width="9.42578125" customWidth="1"/>
    <col min="1029" max="1029" width="12.85546875" customWidth="1"/>
    <col min="1030" max="1030" width="0" hidden="1" customWidth="1"/>
    <col min="1031" max="1033" width="11.85546875" customWidth="1"/>
    <col min="1034" max="1034" width="18.85546875" customWidth="1"/>
    <col min="1035" max="1037" width="11.85546875" customWidth="1"/>
    <col min="1038" max="1038" width="0" hidden="1" customWidth="1"/>
    <col min="1281" max="1281" width="5.28515625" customWidth="1"/>
    <col min="1282" max="1282" width="27.28515625" customWidth="1"/>
    <col min="1283" max="1283" width="10.28515625" customWidth="1"/>
    <col min="1284" max="1284" width="9.42578125" customWidth="1"/>
    <col min="1285" max="1285" width="12.85546875" customWidth="1"/>
    <col min="1286" max="1286" width="0" hidden="1" customWidth="1"/>
    <col min="1287" max="1289" width="11.85546875" customWidth="1"/>
    <col min="1290" max="1290" width="18.85546875" customWidth="1"/>
    <col min="1291" max="1293" width="11.85546875" customWidth="1"/>
    <col min="1294" max="1294" width="0" hidden="1" customWidth="1"/>
    <col min="1537" max="1537" width="5.28515625" customWidth="1"/>
    <col min="1538" max="1538" width="27.28515625" customWidth="1"/>
    <col min="1539" max="1539" width="10.28515625" customWidth="1"/>
    <col min="1540" max="1540" width="9.42578125" customWidth="1"/>
    <col min="1541" max="1541" width="12.85546875" customWidth="1"/>
    <col min="1542" max="1542" width="0" hidden="1" customWidth="1"/>
    <col min="1543" max="1545" width="11.85546875" customWidth="1"/>
    <col min="1546" max="1546" width="18.85546875" customWidth="1"/>
    <col min="1547" max="1549" width="11.85546875" customWidth="1"/>
    <col min="1550" max="1550" width="0" hidden="1" customWidth="1"/>
    <col min="1793" max="1793" width="5.28515625" customWidth="1"/>
    <col min="1794" max="1794" width="27.28515625" customWidth="1"/>
    <col min="1795" max="1795" width="10.28515625" customWidth="1"/>
    <col min="1796" max="1796" width="9.42578125" customWidth="1"/>
    <col min="1797" max="1797" width="12.85546875" customWidth="1"/>
    <col min="1798" max="1798" width="0" hidden="1" customWidth="1"/>
    <col min="1799" max="1801" width="11.85546875" customWidth="1"/>
    <col min="1802" max="1802" width="18.85546875" customWidth="1"/>
    <col min="1803" max="1805" width="11.85546875" customWidth="1"/>
    <col min="1806" max="1806" width="0" hidden="1" customWidth="1"/>
    <col min="2049" max="2049" width="5.28515625" customWidth="1"/>
    <col min="2050" max="2050" width="27.28515625" customWidth="1"/>
    <col min="2051" max="2051" width="10.28515625" customWidth="1"/>
    <col min="2052" max="2052" width="9.42578125" customWidth="1"/>
    <col min="2053" max="2053" width="12.85546875" customWidth="1"/>
    <col min="2054" max="2054" width="0" hidden="1" customWidth="1"/>
    <col min="2055" max="2057" width="11.85546875" customWidth="1"/>
    <col min="2058" max="2058" width="18.85546875" customWidth="1"/>
    <col min="2059" max="2061" width="11.85546875" customWidth="1"/>
    <col min="2062" max="2062" width="0" hidden="1" customWidth="1"/>
    <col min="2305" max="2305" width="5.28515625" customWidth="1"/>
    <col min="2306" max="2306" width="27.28515625" customWidth="1"/>
    <col min="2307" max="2307" width="10.28515625" customWidth="1"/>
    <col min="2308" max="2308" width="9.42578125" customWidth="1"/>
    <col min="2309" max="2309" width="12.85546875" customWidth="1"/>
    <col min="2310" max="2310" width="0" hidden="1" customWidth="1"/>
    <col min="2311" max="2313" width="11.85546875" customWidth="1"/>
    <col min="2314" max="2314" width="18.85546875" customWidth="1"/>
    <col min="2315" max="2317" width="11.85546875" customWidth="1"/>
    <col min="2318" max="2318" width="0" hidden="1" customWidth="1"/>
    <col min="2561" max="2561" width="5.28515625" customWidth="1"/>
    <col min="2562" max="2562" width="27.28515625" customWidth="1"/>
    <col min="2563" max="2563" width="10.28515625" customWidth="1"/>
    <col min="2564" max="2564" width="9.42578125" customWidth="1"/>
    <col min="2565" max="2565" width="12.85546875" customWidth="1"/>
    <col min="2566" max="2566" width="0" hidden="1" customWidth="1"/>
    <col min="2567" max="2569" width="11.85546875" customWidth="1"/>
    <col min="2570" max="2570" width="18.85546875" customWidth="1"/>
    <col min="2571" max="2573" width="11.85546875" customWidth="1"/>
    <col min="2574" max="2574" width="0" hidden="1" customWidth="1"/>
    <col min="2817" max="2817" width="5.28515625" customWidth="1"/>
    <col min="2818" max="2818" width="27.28515625" customWidth="1"/>
    <col min="2819" max="2819" width="10.28515625" customWidth="1"/>
    <col min="2820" max="2820" width="9.42578125" customWidth="1"/>
    <col min="2821" max="2821" width="12.85546875" customWidth="1"/>
    <col min="2822" max="2822" width="0" hidden="1" customWidth="1"/>
    <col min="2823" max="2825" width="11.85546875" customWidth="1"/>
    <col min="2826" max="2826" width="18.85546875" customWidth="1"/>
    <col min="2827" max="2829" width="11.85546875" customWidth="1"/>
    <col min="2830" max="2830" width="0" hidden="1" customWidth="1"/>
    <col min="3073" max="3073" width="5.28515625" customWidth="1"/>
    <col min="3074" max="3074" width="27.28515625" customWidth="1"/>
    <col min="3075" max="3075" width="10.28515625" customWidth="1"/>
    <col min="3076" max="3076" width="9.42578125" customWidth="1"/>
    <col min="3077" max="3077" width="12.85546875" customWidth="1"/>
    <col min="3078" max="3078" width="0" hidden="1" customWidth="1"/>
    <col min="3079" max="3081" width="11.85546875" customWidth="1"/>
    <col min="3082" max="3082" width="18.85546875" customWidth="1"/>
    <col min="3083" max="3085" width="11.85546875" customWidth="1"/>
    <col min="3086" max="3086" width="0" hidden="1" customWidth="1"/>
    <col min="3329" max="3329" width="5.28515625" customWidth="1"/>
    <col min="3330" max="3330" width="27.28515625" customWidth="1"/>
    <col min="3331" max="3331" width="10.28515625" customWidth="1"/>
    <col min="3332" max="3332" width="9.42578125" customWidth="1"/>
    <col min="3333" max="3333" width="12.85546875" customWidth="1"/>
    <col min="3334" max="3334" width="0" hidden="1" customWidth="1"/>
    <col min="3335" max="3337" width="11.85546875" customWidth="1"/>
    <col min="3338" max="3338" width="18.85546875" customWidth="1"/>
    <col min="3339" max="3341" width="11.85546875" customWidth="1"/>
    <col min="3342" max="3342" width="0" hidden="1" customWidth="1"/>
    <col min="3585" max="3585" width="5.28515625" customWidth="1"/>
    <col min="3586" max="3586" width="27.28515625" customWidth="1"/>
    <col min="3587" max="3587" width="10.28515625" customWidth="1"/>
    <col min="3588" max="3588" width="9.42578125" customWidth="1"/>
    <col min="3589" max="3589" width="12.85546875" customWidth="1"/>
    <col min="3590" max="3590" width="0" hidden="1" customWidth="1"/>
    <col min="3591" max="3593" width="11.85546875" customWidth="1"/>
    <col min="3594" max="3594" width="18.85546875" customWidth="1"/>
    <col min="3595" max="3597" width="11.85546875" customWidth="1"/>
    <col min="3598" max="3598" width="0" hidden="1" customWidth="1"/>
    <col min="3841" max="3841" width="5.28515625" customWidth="1"/>
    <col min="3842" max="3842" width="27.28515625" customWidth="1"/>
    <col min="3843" max="3843" width="10.28515625" customWidth="1"/>
    <col min="3844" max="3844" width="9.42578125" customWidth="1"/>
    <col min="3845" max="3845" width="12.85546875" customWidth="1"/>
    <col min="3846" max="3846" width="0" hidden="1" customWidth="1"/>
    <col min="3847" max="3849" width="11.85546875" customWidth="1"/>
    <col min="3850" max="3850" width="18.85546875" customWidth="1"/>
    <col min="3851" max="3853" width="11.85546875" customWidth="1"/>
    <col min="3854" max="3854" width="0" hidden="1" customWidth="1"/>
    <col min="4097" max="4097" width="5.28515625" customWidth="1"/>
    <col min="4098" max="4098" width="27.28515625" customWidth="1"/>
    <col min="4099" max="4099" width="10.28515625" customWidth="1"/>
    <col min="4100" max="4100" width="9.42578125" customWidth="1"/>
    <col min="4101" max="4101" width="12.85546875" customWidth="1"/>
    <col min="4102" max="4102" width="0" hidden="1" customWidth="1"/>
    <col min="4103" max="4105" width="11.85546875" customWidth="1"/>
    <col min="4106" max="4106" width="18.85546875" customWidth="1"/>
    <col min="4107" max="4109" width="11.85546875" customWidth="1"/>
    <col min="4110" max="4110" width="0" hidden="1" customWidth="1"/>
    <col min="4353" max="4353" width="5.28515625" customWidth="1"/>
    <col min="4354" max="4354" width="27.28515625" customWidth="1"/>
    <col min="4355" max="4355" width="10.28515625" customWidth="1"/>
    <col min="4356" max="4356" width="9.42578125" customWidth="1"/>
    <col min="4357" max="4357" width="12.85546875" customWidth="1"/>
    <col min="4358" max="4358" width="0" hidden="1" customWidth="1"/>
    <col min="4359" max="4361" width="11.85546875" customWidth="1"/>
    <col min="4362" max="4362" width="18.85546875" customWidth="1"/>
    <col min="4363" max="4365" width="11.85546875" customWidth="1"/>
    <col min="4366" max="4366" width="0" hidden="1" customWidth="1"/>
    <col min="4609" max="4609" width="5.28515625" customWidth="1"/>
    <col min="4610" max="4610" width="27.28515625" customWidth="1"/>
    <col min="4611" max="4611" width="10.28515625" customWidth="1"/>
    <col min="4612" max="4612" width="9.42578125" customWidth="1"/>
    <col min="4613" max="4613" width="12.85546875" customWidth="1"/>
    <col min="4614" max="4614" width="0" hidden="1" customWidth="1"/>
    <col min="4615" max="4617" width="11.85546875" customWidth="1"/>
    <col min="4618" max="4618" width="18.85546875" customWidth="1"/>
    <col min="4619" max="4621" width="11.85546875" customWidth="1"/>
    <col min="4622" max="4622" width="0" hidden="1" customWidth="1"/>
    <col min="4865" max="4865" width="5.28515625" customWidth="1"/>
    <col min="4866" max="4866" width="27.28515625" customWidth="1"/>
    <col min="4867" max="4867" width="10.28515625" customWidth="1"/>
    <col min="4868" max="4868" width="9.42578125" customWidth="1"/>
    <col min="4869" max="4869" width="12.85546875" customWidth="1"/>
    <col min="4870" max="4870" width="0" hidden="1" customWidth="1"/>
    <col min="4871" max="4873" width="11.85546875" customWidth="1"/>
    <col min="4874" max="4874" width="18.85546875" customWidth="1"/>
    <col min="4875" max="4877" width="11.85546875" customWidth="1"/>
    <col min="4878" max="4878" width="0" hidden="1" customWidth="1"/>
    <col min="5121" max="5121" width="5.28515625" customWidth="1"/>
    <col min="5122" max="5122" width="27.28515625" customWidth="1"/>
    <col min="5123" max="5123" width="10.28515625" customWidth="1"/>
    <col min="5124" max="5124" width="9.42578125" customWidth="1"/>
    <col min="5125" max="5125" width="12.85546875" customWidth="1"/>
    <col min="5126" max="5126" width="0" hidden="1" customWidth="1"/>
    <col min="5127" max="5129" width="11.85546875" customWidth="1"/>
    <col min="5130" max="5130" width="18.85546875" customWidth="1"/>
    <col min="5131" max="5133" width="11.85546875" customWidth="1"/>
    <col min="5134" max="5134" width="0" hidden="1" customWidth="1"/>
    <col min="5377" max="5377" width="5.28515625" customWidth="1"/>
    <col min="5378" max="5378" width="27.28515625" customWidth="1"/>
    <col min="5379" max="5379" width="10.28515625" customWidth="1"/>
    <col min="5380" max="5380" width="9.42578125" customWidth="1"/>
    <col min="5381" max="5381" width="12.85546875" customWidth="1"/>
    <col min="5382" max="5382" width="0" hidden="1" customWidth="1"/>
    <col min="5383" max="5385" width="11.85546875" customWidth="1"/>
    <col min="5386" max="5386" width="18.85546875" customWidth="1"/>
    <col min="5387" max="5389" width="11.85546875" customWidth="1"/>
    <col min="5390" max="5390" width="0" hidden="1" customWidth="1"/>
    <col min="5633" max="5633" width="5.28515625" customWidth="1"/>
    <col min="5634" max="5634" width="27.28515625" customWidth="1"/>
    <col min="5635" max="5635" width="10.28515625" customWidth="1"/>
    <col min="5636" max="5636" width="9.42578125" customWidth="1"/>
    <col min="5637" max="5637" width="12.85546875" customWidth="1"/>
    <col min="5638" max="5638" width="0" hidden="1" customWidth="1"/>
    <col min="5639" max="5641" width="11.85546875" customWidth="1"/>
    <col min="5642" max="5642" width="18.85546875" customWidth="1"/>
    <col min="5643" max="5645" width="11.85546875" customWidth="1"/>
    <col min="5646" max="5646" width="0" hidden="1" customWidth="1"/>
    <col min="5889" max="5889" width="5.28515625" customWidth="1"/>
    <col min="5890" max="5890" width="27.28515625" customWidth="1"/>
    <col min="5891" max="5891" width="10.28515625" customWidth="1"/>
    <col min="5892" max="5892" width="9.42578125" customWidth="1"/>
    <col min="5893" max="5893" width="12.85546875" customWidth="1"/>
    <col min="5894" max="5894" width="0" hidden="1" customWidth="1"/>
    <col min="5895" max="5897" width="11.85546875" customWidth="1"/>
    <col min="5898" max="5898" width="18.85546875" customWidth="1"/>
    <col min="5899" max="5901" width="11.85546875" customWidth="1"/>
    <col min="5902" max="5902" width="0" hidden="1" customWidth="1"/>
    <col min="6145" max="6145" width="5.28515625" customWidth="1"/>
    <col min="6146" max="6146" width="27.28515625" customWidth="1"/>
    <col min="6147" max="6147" width="10.28515625" customWidth="1"/>
    <col min="6148" max="6148" width="9.42578125" customWidth="1"/>
    <col min="6149" max="6149" width="12.85546875" customWidth="1"/>
    <col min="6150" max="6150" width="0" hidden="1" customWidth="1"/>
    <col min="6151" max="6153" width="11.85546875" customWidth="1"/>
    <col min="6154" max="6154" width="18.85546875" customWidth="1"/>
    <col min="6155" max="6157" width="11.85546875" customWidth="1"/>
    <col min="6158" max="6158" width="0" hidden="1" customWidth="1"/>
    <col min="6401" max="6401" width="5.28515625" customWidth="1"/>
    <col min="6402" max="6402" width="27.28515625" customWidth="1"/>
    <col min="6403" max="6403" width="10.28515625" customWidth="1"/>
    <col min="6404" max="6404" width="9.42578125" customWidth="1"/>
    <col min="6405" max="6405" width="12.85546875" customWidth="1"/>
    <col min="6406" max="6406" width="0" hidden="1" customWidth="1"/>
    <col min="6407" max="6409" width="11.85546875" customWidth="1"/>
    <col min="6410" max="6410" width="18.85546875" customWidth="1"/>
    <col min="6411" max="6413" width="11.85546875" customWidth="1"/>
    <col min="6414" max="6414" width="0" hidden="1" customWidth="1"/>
    <col min="6657" max="6657" width="5.28515625" customWidth="1"/>
    <col min="6658" max="6658" width="27.28515625" customWidth="1"/>
    <col min="6659" max="6659" width="10.28515625" customWidth="1"/>
    <col min="6660" max="6660" width="9.42578125" customWidth="1"/>
    <col min="6661" max="6661" width="12.85546875" customWidth="1"/>
    <col min="6662" max="6662" width="0" hidden="1" customWidth="1"/>
    <col min="6663" max="6665" width="11.85546875" customWidth="1"/>
    <col min="6666" max="6666" width="18.85546875" customWidth="1"/>
    <col min="6667" max="6669" width="11.85546875" customWidth="1"/>
    <col min="6670" max="6670" width="0" hidden="1" customWidth="1"/>
    <col min="6913" max="6913" width="5.28515625" customWidth="1"/>
    <col min="6914" max="6914" width="27.28515625" customWidth="1"/>
    <col min="6915" max="6915" width="10.28515625" customWidth="1"/>
    <col min="6916" max="6916" width="9.42578125" customWidth="1"/>
    <col min="6917" max="6917" width="12.85546875" customWidth="1"/>
    <col min="6918" max="6918" width="0" hidden="1" customWidth="1"/>
    <col min="6919" max="6921" width="11.85546875" customWidth="1"/>
    <col min="6922" max="6922" width="18.85546875" customWidth="1"/>
    <col min="6923" max="6925" width="11.85546875" customWidth="1"/>
    <col min="6926" max="6926" width="0" hidden="1" customWidth="1"/>
    <col min="7169" max="7169" width="5.28515625" customWidth="1"/>
    <col min="7170" max="7170" width="27.28515625" customWidth="1"/>
    <col min="7171" max="7171" width="10.28515625" customWidth="1"/>
    <col min="7172" max="7172" width="9.42578125" customWidth="1"/>
    <col min="7173" max="7173" width="12.85546875" customWidth="1"/>
    <col min="7174" max="7174" width="0" hidden="1" customWidth="1"/>
    <col min="7175" max="7177" width="11.85546875" customWidth="1"/>
    <col min="7178" max="7178" width="18.85546875" customWidth="1"/>
    <col min="7179" max="7181" width="11.85546875" customWidth="1"/>
    <col min="7182" max="7182" width="0" hidden="1" customWidth="1"/>
    <col min="7425" max="7425" width="5.28515625" customWidth="1"/>
    <col min="7426" max="7426" width="27.28515625" customWidth="1"/>
    <col min="7427" max="7427" width="10.28515625" customWidth="1"/>
    <col min="7428" max="7428" width="9.42578125" customWidth="1"/>
    <col min="7429" max="7429" width="12.85546875" customWidth="1"/>
    <col min="7430" max="7430" width="0" hidden="1" customWidth="1"/>
    <col min="7431" max="7433" width="11.85546875" customWidth="1"/>
    <col min="7434" max="7434" width="18.85546875" customWidth="1"/>
    <col min="7435" max="7437" width="11.85546875" customWidth="1"/>
    <col min="7438" max="7438" width="0" hidden="1" customWidth="1"/>
    <col min="7681" max="7681" width="5.28515625" customWidth="1"/>
    <col min="7682" max="7682" width="27.28515625" customWidth="1"/>
    <col min="7683" max="7683" width="10.28515625" customWidth="1"/>
    <col min="7684" max="7684" width="9.42578125" customWidth="1"/>
    <col min="7685" max="7685" width="12.85546875" customWidth="1"/>
    <col min="7686" max="7686" width="0" hidden="1" customWidth="1"/>
    <col min="7687" max="7689" width="11.85546875" customWidth="1"/>
    <col min="7690" max="7690" width="18.85546875" customWidth="1"/>
    <col min="7691" max="7693" width="11.85546875" customWidth="1"/>
    <col min="7694" max="7694" width="0" hidden="1" customWidth="1"/>
    <col min="7937" max="7937" width="5.28515625" customWidth="1"/>
    <col min="7938" max="7938" width="27.28515625" customWidth="1"/>
    <col min="7939" max="7939" width="10.28515625" customWidth="1"/>
    <col min="7940" max="7940" width="9.42578125" customWidth="1"/>
    <col min="7941" max="7941" width="12.85546875" customWidth="1"/>
    <col min="7942" max="7942" width="0" hidden="1" customWidth="1"/>
    <col min="7943" max="7945" width="11.85546875" customWidth="1"/>
    <col min="7946" max="7946" width="18.85546875" customWidth="1"/>
    <col min="7947" max="7949" width="11.85546875" customWidth="1"/>
    <col min="7950" max="7950" width="0" hidden="1" customWidth="1"/>
    <col min="8193" max="8193" width="5.28515625" customWidth="1"/>
    <col min="8194" max="8194" width="27.28515625" customWidth="1"/>
    <col min="8195" max="8195" width="10.28515625" customWidth="1"/>
    <col min="8196" max="8196" width="9.42578125" customWidth="1"/>
    <col min="8197" max="8197" width="12.85546875" customWidth="1"/>
    <col min="8198" max="8198" width="0" hidden="1" customWidth="1"/>
    <col min="8199" max="8201" width="11.85546875" customWidth="1"/>
    <col min="8202" max="8202" width="18.85546875" customWidth="1"/>
    <col min="8203" max="8205" width="11.85546875" customWidth="1"/>
    <col min="8206" max="8206" width="0" hidden="1" customWidth="1"/>
    <col min="8449" max="8449" width="5.28515625" customWidth="1"/>
    <col min="8450" max="8450" width="27.28515625" customWidth="1"/>
    <col min="8451" max="8451" width="10.28515625" customWidth="1"/>
    <col min="8452" max="8452" width="9.42578125" customWidth="1"/>
    <col min="8453" max="8453" width="12.85546875" customWidth="1"/>
    <col min="8454" max="8454" width="0" hidden="1" customWidth="1"/>
    <col min="8455" max="8457" width="11.85546875" customWidth="1"/>
    <col min="8458" max="8458" width="18.85546875" customWidth="1"/>
    <col min="8459" max="8461" width="11.85546875" customWidth="1"/>
    <col min="8462" max="8462" width="0" hidden="1" customWidth="1"/>
    <col min="8705" max="8705" width="5.28515625" customWidth="1"/>
    <col min="8706" max="8706" width="27.28515625" customWidth="1"/>
    <col min="8707" max="8707" width="10.28515625" customWidth="1"/>
    <col min="8708" max="8708" width="9.42578125" customWidth="1"/>
    <col min="8709" max="8709" width="12.85546875" customWidth="1"/>
    <col min="8710" max="8710" width="0" hidden="1" customWidth="1"/>
    <col min="8711" max="8713" width="11.85546875" customWidth="1"/>
    <col min="8714" max="8714" width="18.85546875" customWidth="1"/>
    <col min="8715" max="8717" width="11.85546875" customWidth="1"/>
    <col min="8718" max="8718" width="0" hidden="1" customWidth="1"/>
    <col min="8961" max="8961" width="5.28515625" customWidth="1"/>
    <col min="8962" max="8962" width="27.28515625" customWidth="1"/>
    <col min="8963" max="8963" width="10.28515625" customWidth="1"/>
    <col min="8964" max="8964" width="9.42578125" customWidth="1"/>
    <col min="8965" max="8965" width="12.85546875" customWidth="1"/>
    <col min="8966" max="8966" width="0" hidden="1" customWidth="1"/>
    <col min="8967" max="8969" width="11.85546875" customWidth="1"/>
    <col min="8970" max="8970" width="18.85546875" customWidth="1"/>
    <col min="8971" max="8973" width="11.85546875" customWidth="1"/>
    <col min="8974" max="8974" width="0" hidden="1" customWidth="1"/>
    <col min="9217" max="9217" width="5.28515625" customWidth="1"/>
    <col min="9218" max="9218" width="27.28515625" customWidth="1"/>
    <col min="9219" max="9219" width="10.28515625" customWidth="1"/>
    <col min="9220" max="9220" width="9.42578125" customWidth="1"/>
    <col min="9221" max="9221" width="12.85546875" customWidth="1"/>
    <col min="9222" max="9222" width="0" hidden="1" customWidth="1"/>
    <col min="9223" max="9225" width="11.85546875" customWidth="1"/>
    <col min="9226" max="9226" width="18.85546875" customWidth="1"/>
    <col min="9227" max="9229" width="11.85546875" customWidth="1"/>
    <col min="9230" max="9230" width="0" hidden="1" customWidth="1"/>
    <col min="9473" max="9473" width="5.28515625" customWidth="1"/>
    <col min="9474" max="9474" width="27.28515625" customWidth="1"/>
    <col min="9475" max="9475" width="10.28515625" customWidth="1"/>
    <col min="9476" max="9476" width="9.42578125" customWidth="1"/>
    <col min="9477" max="9477" width="12.85546875" customWidth="1"/>
    <col min="9478" max="9478" width="0" hidden="1" customWidth="1"/>
    <col min="9479" max="9481" width="11.85546875" customWidth="1"/>
    <col min="9482" max="9482" width="18.85546875" customWidth="1"/>
    <col min="9483" max="9485" width="11.85546875" customWidth="1"/>
    <col min="9486" max="9486" width="0" hidden="1" customWidth="1"/>
    <col min="9729" max="9729" width="5.28515625" customWidth="1"/>
    <col min="9730" max="9730" width="27.28515625" customWidth="1"/>
    <col min="9731" max="9731" width="10.28515625" customWidth="1"/>
    <col min="9732" max="9732" width="9.42578125" customWidth="1"/>
    <col min="9733" max="9733" width="12.85546875" customWidth="1"/>
    <col min="9734" max="9734" width="0" hidden="1" customWidth="1"/>
    <col min="9735" max="9737" width="11.85546875" customWidth="1"/>
    <col min="9738" max="9738" width="18.85546875" customWidth="1"/>
    <col min="9739" max="9741" width="11.85546875" customWidth="1"/>
    <col min="9742" max="9742" width="0" hidden="1" customWidth="1"/>
    <col min="9985" max="9985" width="5.28515625" customWidth="1"/>
    <col min="9986" max="9986" width="27.28515625" customWidth="1"/>
    <col min="9987" max="9987" width="10.28515625" customWidth="1"/>
    <col min="9988" max="9988" width="9.42578125" customWidth="1"/>
    <col min="9989" max="9989" width="12.85546875" customWidth="1"/>
    <col min="9990" max="9990" width="0" hidden="1" customWidth="1"/>
    <col min="9991" max="9993" width="11.85546875" customWidth="1"/>
    <col min="9994" max="9994" width="18.85546875" customWidth="1"/>
    <col min="9995" max="9997" width="11.85546875" customWidth="1"/>
    <col min="9998" max="9998" width="0" hidden="1" customWidth="1"/>
    <col min="10241" max="10241" width="5.28515625" customWidth="1"/>
    <col min="10242" max="10242" width="27.28515625" customWidth="1"/>
    <col min="10243" max="10243" width="10.28515625" customWidth="1"/>
    <col min="10244" max="10244" width="9.42578125" customWidth="1"/>
    <col min="10245" max="10245" width="12.85546875" customWidth="1"/>
    <col min="10246" max="10246" width="0" hidden="1" customWidth="1"/>
    <col min="10247" max="10249" width="11.85546875" customWidth="1"/>
    <col min="10250" max="10250" width="18.85546875" customWidth="1"/>
    <col min="10251" max="10253" width="11.85546875" customWidth="1"/>
    <col min="10254" max="10254" width="0" hidden="1" customWidth="1"/>
    <col min="10497" max="10497" width="5.28515625" customWidth="1"/>
    <col min="10498" max="10498" width="27.28515625" customWidth="1"/>
    <col min="10499" max="10499" width="10.28515625" customWidth="1"/>
    <col min="10500" max="10500" width="9.42578125" customWidth="1"/>
    <col min="10501" max="10501" width="12.85546875" customWidth="1"/>
    <col min="10502" max="10502" width="0" hidden="1" customWidth="1"/>
    <col min="10503" max="10505" width="11.85546875" customWidth="1"/>
    <col min="10506" max="10506" width="18.85546875" customWidth="1"/>
    <col min="10507" max="10509" width="11.85546875" customWidth="1"/>
    <col min="10510" max="10510" width="0" hidden="1" customWidth="1"/>
    <col min="10753" max="10753" width="5.28515625" customWidth="1"/>
    <col min="10754" max="10754" width="27.28515625" customWidth="1"/>
    <col min="10755" max="10755" width="10.28515625" customWidth="1"/>
    <col min="10756" max="10756" width="9.42578125" customWidth="1"/>
    <col min="10757" max="10757" width="12.85546875" customWidth="1"/>
    <col min="10758" max="10758" width="0" hidden="1" customWidth="1"/>
    <col min="10759" max="10761" width="11.85546875" customWidth="1"/>
    <col min="10762" max="10762" width="18.85546875" customWidth="1"/>
    <col min="10763" max="10765" width="11.85546875" customWidth="1"/>
    <col min="10766" max="10766" width="0" hidden="1" customWidth="1"/>
    <col min="11009" max="11009" width="5.28515625" customWidth="1"/>
    <col min="11010" max="11010" width="27.28515625" customWidth="1"/>
    <col min="11011" max="11011" width="10.28515625" customWidth="1"/>
    <col min="11012" max="11012" width="9.42578125" customWidth="1"/>
    <col min="11013" max="11013" width="12.85546875" customWidth="1"/>
    <col min="11014" max="11014" width="0" hidden="1" customWidth="1"/>
    <col min="11015" max="11017" width="11.85546875" customWidth="1"/>
    <col min="11018" max="11018" width="18.85546875" customWidth="1"/>
    <col min="11019" max="11021" width="11.85546875" customWidth="1"/>
    <col min="11022" max="11022" width="0" hidden="1" customWidth="1"/>
    <col min="11265" max="11265" width="5.28515625" customWidth="1"/>
    <col min="11266" max="11266" width="27.28515625" customWidth="1"/>
    <col min="11267" max="11267" width="10.28515625" customWidth="1"/>
    <col min="11268" max="11268" width="9.42578125" customWidth="1"/>
    <col min="11269" max="11269" width="12.85546875" customWidth="1"/>
    <col min="11270" max="11270" width="0" hidden="1" customWidth="1"/>
    <col min="11271" max="11273" width="11.85546875" customWidth="1"/>
    <col min="11274" max="11274" width="18.85546875" customWidth="1"/>
    <col min="11275" max="11277" width="11.85546875" customWidth="1"/>
    <col min="11278" max="11278" width="0" hidden="1" customWidth="1"/>
    <col min="11521" max="11521" width="5.28515625" customWidth="1"/>
    <col min="11522" max="11522" width="27.28515625" customWidth="1"/>
    <col min="11523" max="11523" width="10.28515625" customWidth="1"/>
    <col min="11524" max="11524" width="9.42578125" customWidth="1"/>
    <col min="11525" max="11525" width="12.85546875" customWidth="1"/>
    <col min="11526" max="11526" width="0" hidden="1" customWidth="1"/>
    <col min="11527" max="11529" width="11.85546875" customWidth="1"/>
    <col min="11530" max="11530" width="18.85546875" customWidth="1"/>
    <col min="11531" max="11533" width="11.85546875" customWidth="1"/>
    <col min="11534" max="11534" width="0" hidden="1" customWidth="1"/>
    <col min="11777" max="11777" width="5.28515625" customWidth="1"/>
    <col min="11778" max="11778" width="27.28515625" customWidth="1"/>
    <col min="11779" max="11779" width="10.28515625" customWidth="1"/>
    <col min="11780" max="11780" width="9.42578125" customWidth="1"/>
    <col min="11781" max="11781" width="12.85546875" customWidth="1"/>
    <col min="11782" max="11782" width="0" hidden="1" customWidth="1"/>
    <col min="11783" max="11785" width="11.85546875" customWidth="1"/>
    <col min="11786" max="11786" width="18.85546875" customWidth="1"/>
    <col min="11787" max="11789" width="11.85546875" customWidth="1"/>
    <col min="11790" max="11790" width="0" hidden="1" customWidth="1"/>
    <col min="12033" max="12033" width="5.28515625" customWidth="1"/>
    <col min="12034" max="12034" width="27.28515625" customWidth="1"/>
    <col min="12035" max="12035" width="10.28515625" customWidth="1"/>
    <col min="12036" max="12036" width="9.42578125" customWidth="1"/>
    <col min="12037" max="12037" width="12.85546875" customWidth="1"/>
    <col min="12038" max="12038" width="0" hidden="1" customWidth="1"/>
    <col min="12039" max="12041" width="11.85546875" customWidth="1"/>
    <col min="12042" max="12042" width="18.85546875" customWidth="1"/>
    <col min="12043" max="12045" width="11.85546875" customWidth="1"/>
    <col min="12046" max="12046" width="0" hidden="1" customWidth="1"/>
    <col min="12289" max="12289" width="5.28515625" customWidth="1"/>
    <col min="12290" max="12290" width="27.28515625" customWidth="1"/>
    <col min="12291" max="12291" width="10.28515625" customWidth="1"/>
    <col min="12292" max="12292" width="9.42578125" customWidth="1"/>
    <col min="12293" max="12293" width="12.85546875" customWidth="1"/>
    <col min="12294" max="12294" width="0" hidden="1" customWidth="1"/>
    <col min="12295" max="12297" width="11.85546875" customWidth="1"/>
    <col min="12298" max="12298" width="18.85546875" customWidth="1"/>
    <col min="12299" max="12301" width="11.85546875" customWidth="1"/>
    <col min="12302" max="12302" width="0" hidden="1" customWidth="1"/>
    <col min="12545" max="12545" width="5.28515625" customWidth="1"/>
    <col min="12546" max="12546" width="27.28515625" customWidth="1"/>
    <col min="12547" max="12547" width="10.28515625" customWidth="1"/>
    <col min="12548" max="12548" width="9.42578125" customWidth="1"/>
    <col min="12549" max="12549" width="12.85546875" customWidth="1"/>
    <col min="12550" max="12550" width="0" hidden="1" customWidth="1"/>
    <col min="12551" max="12553" width="11.85546875" customWidth="1"/>
    <col min="12554" max="12554" width="18.85546875" customWidth="1"/>
    <col min="12555" max="12557" width="11.85546875" customWidth="1"/>
    <col min="12558" max="12558" width="0" hidden="1" customWidth="1"/>
    <col min="12801" max="12801" width="5.28515625" customWidth="1"/>
    <col min="12802" max="12802" width="27.28515625" customWidth="1"/>
    <col min="12803" max="12803" width="10.28515625" customWidth="1"/>
    <col min="12804" max="12804" width="9.42578125" customWidth="1"/>
    <col min="12805" max="12805" width="12.85546875" customWidth="1"/>
    <col min="12806" max="12806" width="0" hidden="1" customWidth="1"/>
    <col min="12807" max="12809" width="11.85546875" customWidth="1"/>
    <col min="12810" max="12810" width="18.85546875" customWidth="1"/>
    <col min="12811" max="12813" width="11.85546875" customWidth="1"/>
    <col min="12814" max="12814" width="0" hidden="1" customWidth="1"/>
    <col min="13057" max="13057" width="5.28515625" customWidth="1"/>
    <col min="13058" max="13058" width="27.28515625" customWidth="1"/>
    <col min="13059" max="13059" width="10.28515625" customWidth="1"/>
    <col min="13060" max="13060" width="9.42578125" customWidth="1"/>
    <col min="13061" max="13061" width="12.85546875" customWidth="1"/>
    <col min="13062" max="13062" width="0" hidden="1" customWidth="1"/>
    <col min="13063" max="13065" width="11.85546875" customWidth="1"/>
    <col min="13066" max="13066" width="18.85546875" customWidth="1"/>
    <col min="13067" max="13069" width="11.85546875" customWidth="1"/>
    <col min="13070" max="13070" width="0" hidden="1" customWidth="1"/>
    <col min="13313" max="13313" width="5.28515625" customWidth="1"/>
    <col min="13314" max="13314" width="27.28515625" customWidth="1"/>
    <col min="13315" max="13315" width="10.28515625" customWidth="1"/>
    <col min="13316" max="13316" width="9.42578125" customWidth="1"/>
    <col min="13317" max="13317" width="12.85546875" customWidth="1"/>
    <col min="13318" max="13318" width="0" hidden="1" customWidth="1"/>
    <col min="13319" max="13321" width="11.85546875" customWidth="1"/>
    <col min="13322" max="13322" width="18.85546875" customWidth="1"/>
    <col min="13323" max="13325" width="11.85546875" customWidth="1"/>
    <col min="13326" max="13326" width="0" hidden="1" customWidth="1"/>
    <col min="13569" max="13569" width="5.28515625" customWidth="1"/>
    <col min="13570" max="13570" width="27.28515625" customWidth="1"/>
    <col min="13571" max="13571" width="10.28515625" customWidth="1"/>
    <col min="13572" max="13572" width="9.42578125" customWidth="1"/>
    <col min="13573" max="13573" width="12.85546875" customWidth="1"/>
    <col min="13574" max="13574" width="0" hidden="1" customWidth="1"/>
    <col min="13575" max="13577" width="11.85546875" customWidth="1"/>
    <col min="13578" max="13578" width="18.85546875" customWidth="1"/>
    <col min="13579" max="13581" width="11.85546875" customWidth="1"/>
    <col min="13582" max="13582" width="0" hidden="1" customWidth="1"/>
    <col min="13825" max="13825" width="5.28515625" customWidth="1"/>
    <col min="13826" max="13826" width="27.28515625" customWidth="1"/>
    <col min="13827" max="13827" width="10.28515625" customWidth="1"/>
    <col min="13828" max="13828" width="9.42578125" customWidth="1"/>
    <col min="13829" max="13829" width="12.85546875" customWidth="1"/>
    <col min="13830" max="13830" width="0" hidden="1" customWidth="1"/>
    <col min="13831" max="13833" width="11.85546875" customWidth="1"/>
    <col min="13834" max="13834" width="18.85546875" customWidth="1"/>
    <col min="13835" max="13837" width="11.85546875" customWidth="1"/>
    <col min="13838" max="13838" width="0" hidden="1" customWidth="1"/>
    <col min="14081" max="14081" width="5.28515625" customWidth="1"/>
    <col min="14082" max="14082" width="27.28515625" customWidth="1"/>
    <col min="14083" max="14083" width="10.28515625" customWidth="1"/>
    <col min="14084" max="14084" width="9.42578125" customWidth="1"/>
    <col min="14085" max="14085" width="12.85546875" customWidth="1"/>
    <col min="14086" max="14086" width="0" hidden="1" customWidth="1"/>
    <col min="14087" max="14089" width="11.85546875" customWidth="1"/>
    <col min="14090" max="14090" width="18.85546875" customWidth="1"/>
    <col min="14091" max="14093" width="11.85546875" customWidth="1"/>
    <col min="14094" max="14094" width="0" hidden="1" customWidth="1"/>
    <col min="14337" max="14337" width="5.28515625" customWidth="1"/>
    <col min="14338" max="14338" width="27.28515625" customWidth="1"/>
    <col min="14339" max="14339" width="10.28515625" customWidth="1"/>
    <col min="14340" max="14340" width="9.42578125" customWidth="1"/>
    <col min="14341" max="14341" width="12.85546875" customWidth="1"/>
    <col min="14342" max="14342" width="0" hidden="1" customWidth="1"/>
    <col min="14343" max="14345" width="11.85546875" customWidth="1"/>
    <col min="14346" max="14346" width="18.85546875" customWidth="1"/>
    <col min="14347" max="14349" width="11.85546875" customWidth="1"/>
    <col min="14350" max="14350" width="0" hidden="1" customWidth="1"/>
    <col min="14593" max="14593" width="5.28515625" customWidth="1"/>
    <col min="14594" max="14594" width="27.28515625" customWidth="1"/>
    <col min="14595" max="14595" width="10.28515625" customWidth="1"/>
    <col min="14596" max="14596" width="9.42578125" customWidth="1"/>
    <col min="14597" max="14597" width="12.85546875" customWidth="1"/>
    <col min="14598" max="14598" width="0" hidden="1" customWidth="1"/>
    <col min="14599" max="14601" width="11.85546875" customWidth="1"/>
    <col min="14602" max="14602" width="18.85546875" customWidth="1"/>
    <col min="14603" max="14605" width="11.85546875" customWidth="1"/>
    <col min="14606" max="14606" width="0" hidden="1" customWidth="1"/>
    <col min="14849" max="14849" width="5.28515625" customWidth="1"/>
    <col min="14850" max="14850" width="27.28515625" customWidth="1"/>
    <col min="14851" max="14851" width="10.28515625" customWidth="1"/>
    <col min="14852" max="14852" width="9.42578125" customWidth="1"/>
    <col min="14853" max="14853" width="12.85546875" customWidth="1"/>
    <col min="14854" max="14854" width="0" hidden="1" customWidth="1"/>
    <col min="14855" max="14857" width="11.85546875" customWidth="1"/>
    <col min="14858" max="14858" width="18.85546875" customWidth="1"/>
    <col min="14859" max="14861" width="11.85546875" customWidth="1"/>
    <col min="14862" max="14862" width="0" hidden="1" customWidth="1"/>
    <col min="15105" max="15105" width="5.28515625" customWidth="1"/>
    <col min="15106" max="15106" width="27.28515625" customWidth="1"/>
    <col min="15107" max="15107" width="10.28515625" customWidth="1"/>
    <col min="15108" max="15108" width="9.42578125" customWidth="1"/>
    <col min="15109" max="15109" width="12.85546875" customWidth="1"/>
    <col min="15110" max="15110" width="0" hidden="1" customWidth="1"/>
    <col min="15111" max="15113" width="11.85546875" customWidth="1"/>
    <col min="15114" max="15114" width="18.85546875" customWidth="1"/>
    <col min="15115" max="15117" width="11.85546875" customWidth="1"/>
    <col min="15118" max="15118" width="0" hidden="1" customWidth="1"/>
    <col min="15361" max="15361" width="5.28515625" customWidth="1"/>
    <col min="15362" max="15362" width="27.28515625" customWidth="1"/>
    <col min="15363" max="15363" width="10.28515625" customWidth="1"/>
    <col min="15364" max="15364" width="9.42578125" customWidth="1"/>
    <col min="15365" max="15365" width="12.85546875" customWidth="1"/>
    <col min="15366" max="15366" width="0" hidden="1" customWidth="1"/>
    <col min="15367" max="15369" width="11.85546875" customWidth="1"/>
    <col min="15370" max="15370" width="18.85546875" customWidth="1"/>
    <col min="15371" max="15373" width="11.85546875" customWidth="1"/>
    <col min="15374" max="15374" width="0" hidden="1" customWidth="1"/>
    <col min="15617" max="15617" width="5.28515625" customWidth="1"/>
    <col min="15618" max="15618" width="27.28515625" customWidth="1"/>
    <col min="15619" max="15619" width="10.28515625" customWidth="1"/>
    <col min="15620" max="15620" width="9.42578125" customWidth="1"/>
    <col min="15621" max="15621" width="12.85546875" customWidth="1"/>
    <col min="15622" max="15622" width="0" hidden="1" customWidth="1"/>
    <col min="15623" max="15625" width="11.85546875" customWidth="1"/>
    <col min="15626" max="15626" width="18.85546875" customWidth="1"/>
    <col min="15627" max="15629" width="11.85546875" customWidth="1"/>
    <col min="15630" max="15630" width="0" hidden="1" customWidth="1"/>
    <col min="15873" max="15873" width="5.28515625" customWidth="1"/>
    <col min="15874" max="15874" width="27.28515625" customWidth="1"/>
    <col min="15875" max="15875" width="10.28515625" customWidth="1"/>
    <col min="15876" max="15876" width="9.42578125" customWidth="1"/>
    <col min="15877" max="15877" width="12.85546875" customWidth="1"/>
    <col min="15878" max="15878" width="0" hidden="1" customWidth="1"/>
    <col min="15879" max="15881" width="11.85546875" customWidth="1"/>
    <col min="15882" max="15882" width="18.85546875" customWidth="1"/>
    <col min="15883" max="15885" width="11.85546875" customWidth="1"/>
    <col min="15886" max="15886" width="0" hidden="1" customWidth="1"/>
    <col min="16129" max="16129" width="5.28515625" customWidth="1"/>
    <col min="16130" max="16130" width="27.28515625" customWidth="1"/>
    <col min="16131" max="16131" width="10.28515625" customWidth="1"/>
    <col min="16132" max="16132" width="9.42578125" customWidth="1"/>
    <col min="16133" max="16133" width="12.85546875" customWidth="1"/>
    <col min="16134" max="16134" width="0" hidden="1" customWidth="1"/>
    <col min="16135" max="16137" width="11.85546875" customWidth="1"/>
    <col min="16138" max="16138" width="18.85546875" customWidth="1"/>
    <col min="16139" max="16141" width="11.85546875" customWidth="1"/>
    <col min="16142" max="16142" width="0" hidden="1" customWidth="1"/>
  </cols>
  <sheetData>
    <row r="1" spans="1:15" ht="12.75" customHeight="1">
      <c r="A1" s="131"/>
      <c r="B1" s="131"/>
      <c r="C1" s="131"/>
      <c r="D1" s="131"/>
      <c r="E1" s="131"/>
      <c r="F1" s="131"/>
      <c r="G1" s="131"/>
      <c r="H1" s="131"/>
      <c r="I1" s="131"/>
      <c r="J1" s="131"/>
      <c r="K1" s="884" t="s">
        <v>1493</v>
      </c>
      <c r="L1" s="884"/>
      <c r="M1" s="884"/>
      <c r="N1" s="884"/>
      <c r="O1" s="132"/>
    </row>
    <row r="2" spans="1:15" ht="36.75" customHeight="1">
      <c r="A2" s="885" t="s">
        <v>478</v>
      </c>
      <c r="B2" s="886"/>
      <c r="C2" s="886"/>
      <c r="D2" s="886"/>
      <c r="E2" s="886"/>
      <c r="F2" s="886"/>
      <c r="G2" s="886"/>
      <c r="H2" s="886"/>
      <c r="I2" s="886"/>
      <c r="J2" s="886"/>
      <c r="K2" s="886"/>
      <c r="L2" s="886"/>
      <c r="M2" s="886"/>
      <c r="N2" s="886"/>
    </row>
    <row r="3" spans="1:15" ht="19.5" customHeight="1">
      <c r="A3" s="133"/>
      <c r="B3" s="887" t="s">
        <v>479</v>
      </c>
      <c r="C3" s="887"/>
      <c r="D3" s="887"/>
      <c r="E3" s="887"/>
      <c r="F3" s="887"/>
      <c r="G3" s="887"/>
      <c r="H3" s="887"/>
      <c r="I3" s="887"/>
      <c r="J3" s="887"/>
      <c r="K3" s="887"/>
      <c r="L3" s="887"/>
      <c r="M3" s="887"/>
      <c r="N3" s="887"/>
    </row>
    <row r="4" spans="1:15">
      <c r="A4" s="888"/>
      <c r="B4" s="888"/>
      <c r="C4" s="888"/>
      <c r="D4" s="888"/>
      <c r="E4" s="888"/>
      <c r="F4" s="888"/>
      <c r="G4" s="888"/>
      <c r="H4" s="131"/>
      <c r="I4" s="131"/>
      <c r="J4" s="131"/>
      <c r="K4" s="131"/>
      <c r="L4" s="131"/>
      <c r="M4" s="131"/>
      <c r="N4" s="134" t="s">
        <v>480</v>
      </c>
    </row>
    <row r="5" spans="1:15" ht="37.5" customHeight="1">
      <c r="A5" s="889" t="s">
        <v>16</v>
      </c>
      <c r="B5" s="891" t="s">
        <v>481</v>
      </c>
      <c r="C5" s="893" t="s">
        <v>0</v>
      </c>
      <c r="D5" s="894"/>
      <c r="E5" s="895"/>
      <c r="F5" s="896" t="s">
        <v>482</v>
      </c>
      <c r="G5" s="898" t="s">
        <v>483</v>
      </c>
      <c r="H5" s="898"/>
      <c r="I5" s="898"/>
      <c r="J5" s="899" t="s">
        <v>1</v>
      </c>
      <c r="K5" s="898" t="s">
        <v>2</v>
      </c>
      <c r="L5" s="898"/>
      <c r="M5" s="898"/>
      <c r="N5" s="899" t="s">
        <v>484</v>
      </c>
    </row>
    <row r="6" spans="1:15" ht="60.75" customHeight="1">
      <c r="A6" s="890"/>
      <c r="B6" s="892"/>
      <c r="C6" s="135" t="s">
        <v>3</v>
      </c>
      <c r="D6" s="135" t="s">
        <v>4</v>
      </c>
      <c r="E6" s="135" t="s">
        <v>5</v>
      </c>
      <c r="F6" s="897"/>
      <c r="G6" s="136" t="s">
        <v>222</v>
      </c>
      <c r="H6" s="136" t="s">
        <v>314</v>
      </c>
      <c r="I6" s="136" t="s">
        <v>425</v>
      </c>
      <c r="J6" s="900"/>
      <c r="K6" s="137" t="s">
        <v>219</v>
      </c>
      <c r="L6" s="137" t="s">
        <v>373</v>
      </c>
      <c r="M6" s="137" t="s">
        <v>414</v>
      </c>
      <c r="N6" s="900"/>
    </row>
    <row r="7" spans="1:15" ht="14.25" customHeight="1">
      <c r="A7" s="138">
        <v>1</v>
      </c>
      <c r="B7" s="139">
        <v>2</v>
      </c>
      <c r="C7" s="140">
        <v>3</v>
      </c>
      <c r="D7" s="140">
        <v>4</v>
      </c>
      <c r="E7" s="141">
        <v>5</v>
      </c>
      <c r="F7" s="141">
        <v>6</v>
      </c>
      <c r="G7" s="141">
        <v>6</v>
      </c>
      <c r="H7" s="141">
        <v>7</v>
      </c>
      <c r="I7" s="141">
        <v>8</v>
      </c>
      <c r="J7" s="140">
        <v>9</v>
      </c>
      <c r="K7" s="140">
        <v>10</v>
      </c>
      <c r="L7" s="140">
        <v>11</v>
      </c>
      <c r="M7" s="140">
        <v>12</v>
      </c>
      <c r="N7" s="140">
        <v>16</v>
      </c>
    </row>
    <row r="8" spans="1:15" ht="38.25" customHeight="1">
      <c r="A8" s="195"/>
      <c r="B8" s="142" t="s">
        <v>485</v>
      </c>
      <c r="C8" s="431" t="s">
        <v>1084</v>
      </c>
      <c r="D8" s="195" t="s">
        <v>205</v>
      </c>
      <c r="E8" s="195" t="s">
        <v>202</v>
      </c>
      <c r="F8" s="141"/>
      <c r="G8" s="287">
        <f>G9+G19+G23+G67</f>
        <v>265563.01666999998</v>
      </c>
      <c r="H8" s="287">
        <f>H9+H19+H23+H67</f>
        <v>256440.55</v>
      </c>
      <c r="I8" s="287">
        <f>I9+I19+I23+I67</f>
        <v>197548.4</v>
      </c>
      <c r="J8" s="215"/>
      <c r="K8" s="215"/>
      <c r="L8" s="215"/>
      <c r="M8" s="215"/>
      <c r="N8" s="140"/>
    </row>
    <row r="9" spans="1:15" ht="54.75" customHeight="1" outlineLevel="4">
      <c r="A9" s="195"/>
      <c r="B9" s="143" t="s">
        <v>486</v>
      </c>
      <c r="C9" s="195" t="s">
        <v>7</v>
      </c>
      <c r="D9" s="195" t="s">
        <v>205</v>
      </c>
      <c r="E9" s="195" t="s">
        <v>203</v>
      </c>
      <c r="F9" s="144"/>
      <c r="G9" s="145">
        <f>G10+G11+G12+G13</f>
        <v>48030.200000000004</v>
      </c>
      <c r="H9" s="145">
        <f t="shared" ref="H9:I9" si="0">H10+H11+H12+H13</f>
        <v>45989.55</v>
      </c>
      <c r="I9" s="145">
        <f t="shared" si="0"/>
        <v>47185</v>
      </c>
      <c r="J9" s="146"/>
      <c r="K9" s="145"/>
      <c r="L9" s="145"/>
      <c r="M9" s="145"/>
      <c r="N9" s="147"/>
    </row>
    <row r="10" spans="1:15" ht="46.5" customHeight="1" outlineLevel="4">
      <c r="A10" s="148"/>
      <c r="B10" s="149" t="s">
        <v>487</v>
      </c>
      <c r="C10" s="148" t="s">
        <v>1084</v>
      </c>
      <c r="D10" s="148" t="s">
        <v>205</v>
      </c>
      <c r="E10" s="148" t="s">
        <v>488</v>
      </c>
      <c r="F10" s="150"/>
      <c r="G10" s="151">
        <v>45376.5</v>
      </c>
      <c r="H10" s="152">
        <v>44443.25</v>
      </c>
      <c r="I10" s="151">
        <v>45385</v>
      </c>
      <c r="J10" s="151"/>
      <c r="K10" s="151"/>
      <c r="L10" s="151"/>
      <c r="M10" s="151"/>
      <c r="N10" s="153"/>
    </row>
    <row r="11" spans="1:15" ht="40.5" customHeight="1" outlineLevel="3">
      <c r="A11" s="148"/>
      <c r="B11" s="149" t="s">
        <v>489</v>
      </c>
      <c r="C11" s="148" t="s">
        <v>1084</v>
      </c>
      <c r="D11" s="154" t="s">
        <v>205</v>
      </c>
      <c r="E11" s="148" t="s">
        <v>490</v>
      </c>
      <c r="F11" s="155"/>
      <c r="G11" s="156">
        <v>700</v>
      </c>
      <c r="H11" s="156">
        <v>700</v>
      </c>
      <c r="I11" s="156">
        <v>700</v>
      </c>
      <c r="J11" s="156"/>
      <c r="K11" s="156"/>
      <c r="L11" s="156"/>
      <c r="M11" s="156"/>
      <c r="N11" s="153"/>
    </row>
    <row r="12" spans="1:15" ht="86.25" customHeight="1" outlineLevel="4">
      <c r="A12" s="148"/>
      <c r="B12" s="149" t="s">
        <v>1574</v>
      </c>
      <c r="C12" s="148" t="s">
        <v>1084</v>
      </c>
      <c r="D12" s="154" t="s">
        <v>205</v>
      </c>
      <c r="E12" s="148" t="s">
        <v>491</v>
      </c>
      <c r="F12" s="157"/>
      <c r="G12" s="152">
        <v>1511.8</v>
      </c>
      <c r="H12" s="152">
        <v>846.3</v>
      </c>
      <c r="I12" s="152">
        <v>100</v>
      </c>
      <c r="J12" s="152"/>
      <c r="K12" s="152"/>
      <c r="L12" s="152"/>
      <c r="M12" s="152"/>
      <c r="N12" s="153"/>
    </row>
    <row r="13" spans="1:15" ht="36.75" customHeight="1" outlineLevel="4">
      <c r="A13" s="148"/>
      <c r="B13" s="149" t="s">
        <v>1573</v>
      </c>
      <c r="C13" s="148" t="s">
        <v>1084</v>
      </c>
      <c r="D13" s="154" t="s">
        <v>205</v>
      </c>
      <c r="E13" s="148" t="s">
        <v>492</v>
      </c>
      <c r="F13" s="157"/>
      <c r="G13" s="152">
        <v>441.9</v>
      </c>
      <c r="H13" s="152">
        <v>0</v>
      </c>
      <c r="I13" s="152">
        <v>1000</v>
      </c>
      <c r="J13" s="152"/>
      <c r="K13" s="158"/>
      <c r="L13" s="158"/>
      <c r="M13" s="158"/>
      <c r="N13" s="153"/>
    </row>
    <row r="14" spans="1:15" ht="32.25" hidden="1" customHeight="1" outlineLevel="4">
      <c r="A14" s="148"/>
      <c r="B14" s="149" t="s">
        <v>493</v>
      </c>
      <c r="C14" s="148" t="s">
        <v>1084</v>
      </c>
      <c r="D14" s="154" t="s">
        <v>205</v>
      </c>
      <c r="E14" s="148" t="s">
        <v>494</v>
      </c>
      <c r="F14" s="157"/>
      <c r="G14" s="152"/>
      <c r="H14" s="152"/>
      <c r="I14" s="152"/>
      <c r="J14" s="152"/>
      <c r="K14" s="158"/>
      <c r="L14" s="158"/>
      <c r="M14" s="158"/>
      <c r="N14" s="153"/>
    </row>
    <row r="15" spans="1:15" ht="64.5" hidden="1" customHeight="1" outlineLevel="4">
      <c r="A15" s="148"/>
      <c r="B15" s="159" t="s">
        <v>495</v>
      </c>
      <c r="C15" s="148" t="s">
        <v>1084</v>
      </c>
      <c r="D15" s="165" t="s">
        <v>205</v>
      </c>
      <c r="E15" s="148" t="s">
        <v>1225</v>
      </c>
      <c r="F15" s="157"/>
      <c r="G15" s="152"/>
      <c r="H15" s="152"/>
      <c r="I15" s="152"/>
      <c r="J15" s="222" t="s">
        <v>496</v>
      </c>
      <c r="K15" s="158">
        <v>2</v>
      </c>
      <c r="L15" s="158">
        <v>1</v>
      </c>
      <c r="M15" s="158"/>
      <c r="N15" s="112" t="s">
        <v>497</v>
      </c>
    </row>
    <row r="16" spans="1:15" ht="64.5" hidden="1" customHeight="1" outlineLevel="4">
      <c r="A16" s="880"/>
      <c r="B16" s="882" t="s">
        <v>498</v>
      </c>
      <c r="C16" s="880" t="s">
        <v>1084</v>
      </c>
      <c r="D16" s="882" t="s">
        <v>205</v>
      </c>
      <c r="E16" s="880" t="s">
        <v>499</v>
      </c>
      <c r="F16" s="157"/>
      <c r="G16" s="878"/>
      <c r="H16" s="878"/>
      <c r="I16" s="878"/>
      <c r="J16" s="224" t="s">
        <v>500</v>
      </c>
      <c r="K16" s="158">
        <v>2</v>
      </c>
      <c r="L16" s="158">
        <v>1</v>
      </c>
      <c r="M16" s="158"/>
      <c r="N16" s="112"/>
    </row>
    <row r="17" spans="1:14" ht="63" hidden="1" customHeight="1" outlineLevel="4">
      <c r="A17" s="881"/>
      <c r="B17" s="883"/>
      <c r="C17" s="881"/>
      <c r="D17" s="883"/>
      <c r="E17" s="881"/>
      <c r="F17" s="157"/>
      <c r="G17" s="879"/>
      <c r="H17" s="879"/>
      <c r="I17" s="879"/>
      <c r="J17" s="222" t="s">
        <v>501</v>
      </c>
      <c r="K17" s="152">
        <v>0</v>
      </c>
      <c r="L17" s="158">
        <v>16</v>
      </c>
      <c r="M17" s="158"/>
      <c r="N17" s="112" t="s">
        <v>502</v>
      </c>
    </row>
    <row r="18" spans="1:14" ht="39" hidden="1" outlineLevel="4">
      <c r="A18" s="148"/>
      <c r="B18" s="160" t="s">
        <v>503</v>
      </c>
      <c r="C18" s="148" t="s">
        <v>1084</v>
      </c>
      <c r="D18" s="165" t="s">
        <v>205</v>
      </c>
      <c r="E18" s="148" t="s">
        <v>504</v>
      </c>
      <c r="F18" s="157"/>
      <c r="G18" s="152"/>
      <c r="H18" s="152"/>
      <c r="I18" s="152"/>
      <c r="J18" s="222" t="s">
        <v>505</v>
      </c>
      <c r="K18" s="158">
        <v>1</v>
      </c>
      <c r="L18" s="158">
        <v>0</v>
      </c>
      <c r="M18" s="158"/>
      <c r="N18" s="112" t="s">
        <v>506</v>
      </c>
    </row>
    <row r="19" spans="1:14" ht="59.25" customHeight="1" outlineLevel="4">
      <c r="A19" s="161"/>
      <c r="B19" s="143" t="s">
        <v>507</v>
      </c>
      <c r="C19" s="162"/>
      <c r="D19" s="162"/>
      <c r="E19" s="161" t="s">
        <v>398</v>
      </c>
      <c r="F19" s="155"/>
      <c r="G19" s="163">
        <v>2242.5</v>
      </c>
      <c r="H19" s="163">
        <v>0</v>
      </c>
      <c r="I19" s="163">
        <f>I20+I21+I22</f>
        <v>33608</v>
      </c>
      <c r="J19" s="164"/>
      <c r="K19" s="164"/>
      <c r="L19" s="164"/>
      <c r="M19" s="164"/>
      <c r="N19" s="153"/>
    </row>
    <row r="20" spans="1:14" ht="60.75" customHeight="1" outlineLevel="4">
      <c r="A20" s="165"/>
      <c r="B20" s="149" t="s">
        <v>508</v>
      </c>
      <c r="C20" s="148" t="s">
        <v>1084</v>
      </c>
      <c r="D20" s="165" t="s">
        <v>205</v>
      </c>
      <c r="E20" s="165" t="s">
        <v>509</v>
      </c>
      <c r="F20" s="157"/>
      <c r="G20" s="152">
        <v>2242.5</v>
      </c>
      <c r="H20" s="152"/>
      <c r="I20" s="152"/>
      <c r="J20" s="166" t="s">
        <v>510</v>
      </c>
      <c r="K20" s="167"/>
      <c r="L20" s="167">
        <v>1</v>
      </c>
      <c r="M20" s="167"/>
      <c r="N20" s="112" t="s">
        <v>511</v>
      </c>
    </row>
    <row r="21" spans="1:14" ht="88.5" customHeight="1" outlineLevel="4">
      <c r="A21" s="165"/>
      <c r="B21" s="149" t="s">
        <v>1546</v>
      </c>
      <c r="C21" s="148"/>
      <c r="D21" s="165"/>
      <c r="E21" s="165"/>
      <c r="F21" s="157"/>
      <c r="G21" s="152"/>
      <c r="H21" s="152"/>
      <c r="I21" s="152"/>
      <c r="J21" s="166"/>
      <c r="K21" s="167"/>
      <c r="L21" s="167"/>
      <c r="M21" s="167"/>
      <c r="N21" s="112"/>
    </row>
    <row r="22" spans="1:14" ht="52.5" customHeight="1" outlineLevel="4">
      <c r="A22" s="165"/>
      <c r="B22" s="249" t="s">
        <v>1539</v>
      </c>
      <c r="C22" s="239" t="s">
        <v>1084</v>
      </c>
      <c r="D22" s="239" t="s">
        <v>205</v>
      </c>
      <c r="E22" s="239" t="s">
        <v>1547</v>
      </c>
      <c r="F22" s="626"/>
      <c r="G22" s="158"/>
      <c r="H22" s="158"/>
      <c r="I22" s="158">
        <v>33608</v>
      </c>
      <c r="J22" s="168"/>
      <c r="K22" s="167"/>
      <c r="L22" s="216"/>
      <c r="M22" s="167"/>
      <c r="N22" s="112" t="s">
        <v>512</v>
      </c>
    </row>
    <row r="23" spans="1:14" ht="56.25" customHeight="1" outlineLevel="4">
      <c r="A23" s="161"/>
      <c r="B23" s="143" t="s">
        <v>513</v>
      </c>
      <c r="C23" s="161"/>
      <c r="D23" s="161"/>
      <c r="E23" s="161" t="s">
        <v>514</v>
      </c>
      <c r="F23" s="155"/>
      <c r="G23" s="163">
        <f>G46+G48+G57+G61+G53</f>
        <v>92078.816669999986</v>
      </c>
      <c r="H23" s="163">
        <f>H45+H57</f>
        <v>14692.2</v>
      </c>
      <c r="I23" s="163">
        <f>I45+I46+I53+I57</f>
        <v>14806.5</v>
      </c>
      <c r="J23" s="217" t="s">
        <v>515</v>
      </c>
      <c r="K23" s="146" t="e">
        <f>K24+K26+K27+K28+K29+K30+K31+K34+K35+K36+K37+K38+K39+K40+K41+K42+K43+K44+K48+K57+K61+K53+K32+K33+K25+K46+K45</f>
        <v>#REF!</v>
      </c>
      <c r="L23" s="146" t="e">
        <f>L45+L46+L48+L53+L57+#REF!+L61</f>
        <v>#REF!</v>
      </c>
      <c r="M23" s="146" t="e">
        <f>M45+M46+M48+M53+M57+M59+M60+#REF!+M61</f>
        <v>#REF!</v>
      </c>
      <c r="N23" s="153"/>
    </row>
    <row r="24" spans="1:14" ht="79.5" hidden="1" customHeight="1" outlineLevel="4">
      <c r="A24" s="165"/>
      <c r="B24" s="149" t="s">
        <v>306</v>
      </c>
      <c r="C24" s="161"/>
      <c r="D24" s="161"/>
      <c r="E24" s="165"/>
      <c r="F24" s="155"/>
      <c r="G24" s="152"/>
      <c r="H24" s="152"/>
      <c r="I24" s="152"/>
      <c r="J24" s="152"/>
      <c r="K24" s="158"/>
      <c r="L24" s="158"/>
      <c r="M24" s="158"/>
      <c r="N24" s="153"/>
    </row>
    <row r="25" spans="1:14" ht="79.5" hidden="1" customHeight="1" outlineLevel="4">
      <c r="A25" s="165"/>
      <c r="B25" s="149" t="s">
        <v>516</v>
      </c>
      <c r="C25" s="161"/>
      <c r="D25" s="161"/>
      <c r="E25" s="165"/>
      <c r="F25" s="155"/>
      <c r="G25" s="152"/>
      <c r="H25" s="163"/>
      <c r="I25" s="163"/>
      <c r="J25" s="152"/>
      <c r="K25" s="158"/>
      <c r="L25" s="146"/>
      <c r="M25" s="146"/>
      <c r="N25" s="153"/>
    </row>
    <row r="26" spans="1:14" ht="79.5" hidden="1" customHeight="1" outlineLevel="4">
      <c r="A26" s="165"/>
      <c r="B26" s="149" t="s">
        <v>517</v>
      </c>
      <c r="C26" s="161"/>
      <c r="D26" s="161"/>
      <c r="E26" s="165"/>
      <c r="F26" s="155"/>
      <c r="G26" s="163"/>
      <c r="H26" s="152"/>
      <c r="I26" s="163"/>
      <c r="J26" s="163"/>
      <c r="K26" s="146"/>
      <c r="L26" s="158"/>
      <c r="M26" s="146"/>
      <c r="N26" s="153"/>
    </row>
    <row r="27" spans="1:14" ht="79.5" hidden="1" customHeight="1" outlineLevel="4">
      <c r="A27" s="165"/>
      <c r="B27" s="149" t="s">
        <v>518</v>
      </c>
      <c r="C27" s="161"/>
      <c r="D27" s="161"/>
      <c r="E27" s="165"/>
      <c r="F27" s="155"/>
      <c r="G27" s="152"/>
      <c r="H27" s="163"/>
      <c r="I27" s="163"/>
      <c r="J27" s="152"/>
      <c r="K27" s="158"/>
      <c r="L27" s="146"/>
      <c r="M27" s="146"/>
      <c r="N27" s="153"/>
    </row>
    <row r="28" spans="1:14" ht="79.5" hidden="1" customHeight="1" outlineLevel="4">
      <c r="A28" s="165"/>
      <c r="B28" s="218" t="s">
        <v>519</v>
      </c>
      <c r="C28" s="165"/>
      <c r="D28" s="165"/>
      <c r="E28" s="165"/>
      <c r="F28" s="157"/>
      <c r="G28" s="152"/>
      <c r="H28" s="152"/>
      <c r="I28" s="152"/>
      <c r="J28" s="152"/>
      <c r="K28" s="158"/>
      <c r="L28" s="158"/>
      <c r="M28" s="158"/>
      <c r="N28" s="153"/>
    </row>
    <row r="29" spans="1:14" ht="79.5" hidden="1" customHeight="1" outlineLevel="4">
      <c r="A29" s="165"/>
      <c r="B29" s="219" t="s">
        <v>520</v>
      </c>
      <c r="C29" s="165"/>
      <c r="D29" s="165"/>
      <c r="E29" s="165"/>
      <c r="F29" s="157"/>
      <c r="G29" s="152"/>
      <c r="H29" s="152"/>
      <c r="I29" s="152"/>
      <c r="J29" s="152"/>
      <c r="K29" s="158"/>
      <c r="L29" s="158"/>
      <c r="M29" s="158"/>
      <c r="N29" s="153"/>
    </row>
    <row r="30" spans="1:14" ht="79.5" hidden="1" customHeight="1" outlineLevel="4">
      <c r="A30" s="165"/>
      <c r="B30" s="220" t="s">
        <v>521</v>
      </c>
      <c r="C30" s="165"/>
      <c r="D30" s="165"/>
      <c r="E30" s="165"/>
      <c r="F30" s="157"/>
      <c r="G30" s="152"/>
      <c r="H30" s="152"/>
      <c r="I30" s="152"/>
      <c r="J30" s="152"/>
      <c r="K30" s="158"/>
      <c r="L30" s="158"/>
      <c r="M30" s="158"/>
      <c r="N30" s="153"/>
    </row>
    <row r="31" spans="1:14" ht="79.5" hidden="1" customHeight="1" outlineLevel="4">
      <c r="A31" s="165"/>
      <c r="B31" s="220" t="s">
        <v>522</v>
      </c>
      <c r="C31" s="165"/>
      <c r="D31" s="165"/>
      <c r="E31" s="165"/>
      <c r="F31" s="157"/>
      <c r="G31" s="152"/>
      <c r="H31" s="152"/>
      <c r="I31" s="152"/>
      <c r="J31" s="152"/>
      <c r="K31" s="158"/>
      <c r="L31" s="158"/>
      <c r="M31" s="158"/>
      <c r="N31" s="153"/>
    </row>
    <row r="32" spans="1:14" ht="79.5" hidden="1" customHeight="1" outlineLevel="4">
      <c r="A32" s="165"/>
      <c r="B32" s="220" t="s">
        <v>523</v>
      </c>
      <c r="C32" s="165"/>
      <c r="D32" s="165"/>
      <c r="E32" s="165"/>
      <c r="F32" s="157"/>
      <c r="G32" s="152"/>
      <c r="H32" s="152"/>
      <c r="I32" s="152"/>
      <c r="J32" s="152"/>
      <c r="K32" s="158"/>
      <c r="L32" s="158"/>
      <c r="M32" s="158"/>
      <c r="N32" s="153" t="s">
        <v>524</v>
      </c>
    </row>
    <row r="33" spans="1:14" ht="79.5" hidden="1" customHeight="1" outlineLevel="4">
      <c r="A33" s="165"/>
      <c r="B33" s="220" t="s">
        <v>525</v>
      </c>
      <c r="C33" s="165"/>
      <c r="D33" s="165"/>
      <c r="E33" s="165"/>
      <c r="F33" s="157"/>
      <c r="G33" s="152"/>
      <c r="H33" s="152"/>
      <c r="I33" s="152"/>
      <c r="J33" s="152"/>
      <c r="K33" s="158"/>
      <c r="L33" s="158"/>
      <c r="M33" s="158"/>
      <c r="N33" s="112" t="s">
        <v>526</v>
      </c>
    </row>
    <row r="34" spans="1:14" ht="79.5" hidden="1" customHeight="1" outlineLevel="4">
      <c r="A34" s="165"/>
      <c r="B34" s="220" t="s">
        <v>527</v>
      </c>
      <c r="C34" s="165"/>
      <c r="D34" s="165"/>
      <c r="E34" s="165"/>
      <c r="F34" s="157"/>
      <c r="G34" s="152"/>
      <c r="H34" s="152"/>
      <c r="I34" s="152"/>
      <c r="J34" s="152"/>
      <c r="K34" s="158"/>
      <c r="L34" s="158"/>
      <c r="M34" s="158"/>
      <c r="N34" s="112" t="s">
        <v>528</v>
      </c>
    </row>
    <row r="35" spans="1:14" ht="79.5" hidden="1" customHeight="1" outlineLevel="4">
      <c r="A35" s="165"/>
      <c r="B35" s="220" t="s">
        <v>529</v>
      </c>
      <c r="C35" s="165"/>
      <c r="D35" s="165"/>
      <c r="E35" s="165"/>
      <c r="F35" s="157"/>
      <c r="G35" s="152"/>
      <c r="H35" s="152"/>
      <c r="I35" s="152"/>
      <c r="J35" s="152"/>
      <c r="K35" s="158"/>
      <c r="L35" s="158"/>
      <c r="M35" s="158"/>
      <c r="N35" s="112" t="s">
        <v>530</v>
      </c>
    </row>
    <row r="36" spans="1:14" ht="79.5" hidden="1" customHeight="1" outlineLevel="4">
      <c r="A36" s="165"/>
      <c r="B36" s="221" t="s">
        <v>531</v>
      </c>
      <c r="C36" s="165"/>
      <c r="D36" s="165"/>
      <c r="E36" s="165"/>
      <c r="F36" s="157"/>
      <c r="G36" s="152"/>
      <c r="H36" s="152"/>
      <c r="I36" s="152"/>
      <c r="J36" s="152"/>
      <c r="K36" s="158"/>
      <c r="L36" s="158"/>
      <c r="M36" s="158"/>
      <c r="N36" s="112"/>
    </row>
    <row r="37" spans="1:14" ht="79.5" hidden="1" customHeight="1" outlineLevel="4">
      <c r="A37" s="165"/>
      <c r="B37" s="221" t="s">
        <v>532</v>
      </c>
      <c r="C37" s="165"/>
      <c r="D37" s="165"/>
      <c r="E37" s="165"/>
      <c r="F37" s="157"/>
      <c r="G37" s="152"/>
      <c r="H37" s="152"/>
      <c r="I37" s="152"/>
      <c r="J37" s="152"/>
      <c r="K37" s="158"/>
      <c r="L37" s="158"/>
      <c r="M37" s="158"/>
      <c r="N37" s="112"/>
    </row>
    <row r="38" spans="1:14" ht="79.5" hidden="1" customHeight="1" outlineLevel="4">
      <c r="A38" s="165"/>
      <c r="B38" s="221" t="s">
        <v>533</v>
      </c>
      <c r="C38" s="165"/>
      <c r="D38" s="165"/>
      <c r="E38" s="165"/>
      <c r="F38" s="157"/>
      <c r="G38" s="152"/>
      <c r="H38" s="152"/>
      <c r="I38" s="152"/>
      <c r="J38" s="152"/>
      <c r="K38" s="158"/>
      <c r="L38" s="158"/>
      <c r="M38" s="158"/>
      <c r="N38" s="112"/>
    </row>
    <row r="39" spans="1:14" ht="79.5" hidden="1" customHeight="1" outlineLevel="4">
      <c r="A39" s="165"/>
      <c r="B39" s="220" t="s">
        <v>534</v>
      </c>
      <c r="C39" s="165"/>
      <c r="D39" s="165"/>
      <c r="E39" s="165"/>
      <c r="F39" s="157"/>
      <c r="G39" s="152"/>
      <c r="H39" s="152"/>
      <c r="I39" s="152"/>
      <c r="J39" s="152"/>
      <c r="K39" s="158"/>
      <c r="L39" s="158"/>
      <c r="M39" s="158"/>
      <c r="N39" s="112"/>
    </row>
    <row r="40" spans="1:14" ht="79.5" hidden="1" customHeight="1" outlineLevel="4">
      <c r="A40" s="165"/>
      <c r="B40" s="220" t="s">
        <v>535</v>
      </c>
      <c r="C40" s="165"/>
      <c r="D40" s="165"/>
      <c r="E40" s="165"/>
      <c r="F40" s="157"/>
      <c r="G40" s="152"/>
      <c r="H40" s="152"/>
      <c r="I40" s="152"/>
      <c r="J40" s="152"/>
      <c r="K40" s="158"/>
      <c r="L40" s="158"/>
      <c r="M40" s="158"/>
      <c r="N40" s="112"/>
    </row>
    <row r="41" spans="1:14" ht="79.5" hidden="1" customHeight="1" outlineLevel="4">
      <c r="A41" s="165"/>
      <c r="B41" s="220" t="s">
        <v>536</v>
      </c>
      <c r="C41" s="165"/>
      <c r="D41" s="165"/>
      <c r="E41" s="165"/>
      <c r="F41" s="157"/>
      <c r="G41" s="152"/>
      <c r="H41" s="152"/>
      <c r="I41" s="152"/>
      <c r="J41" s="152"/>
      <c r="K41" s="158"/>
      <c r="L41" s="158"/>
      <c r="M41" s="158"/>
      <c r="N41" s="112"/>
    </row>
    <row r="42" spans="1:14" ht="79.5" hidden="1" customHeight="1" outlineLevel="4">
      <c r="A42" s="165"/>
      <c r="B42" s="220" t="s">
        <v>537</v>
      </c>
      <c r="C42" s="165"/>
      <c r="D42" s="165"/>
      <c r="E42" s="165"/>
      <c r="F42" s="157"/>
      <c r="G42" s="152"/>
      <c r="H42" s="152"/>
      <c r="I42" s="152"/>
      <c r="J42" s="152"/>
      <c r="K42" s="158"/>
      <c r="L42" s="158"/>
      <c r="M42" s="158"/>
      <c r="N42" s="112"/>
    </row>
    <row r="43" spans="1:14" ht="79.5" hidden="1" customHeight="1" outlineLevel="4">
      <c r="A43" s="165"/>
      <c r="B43" s="220" t="s">
        <v>538</v>
      </c>
      <c r="C43" s="165"/>
      <c r="D43" s="165"/>
      <c r="E43" s="165"/>
      <c r="F43" s="157"/>
      <c r="G43" s="152"/>
      <c r="H43" s="152"/>
      <c r="I43" s="152"/>
      <c r="J43" s="152"/>
      <c r="K43" s="158"/>
      <c r="L43" s="158"/>
      <c r="M43" s="158"/>
      <c r="N43" s="112" t="s">
        <v>539</v>
      </c>
    </row>
    <row r="44" spans="1:14" ht="79.5" hidden="1" customHeight="1" outlineLevel="4">
      <c r="A44" s="165"/>
      <c r="B44" s="220" t="s">
        <v>540</v>
      </c>
      <c r="C44" s="165"/>
      <c r="D44" s="165"/>
      <c r="E44" s="165"/>
      <c r="F44" s="157"/>
      <c r="G44" s="152"/>
      <c r="H44" s="152"/>
      <c r="I44" s="152"/>
      <c r="J44" s="152"/>
      <c r="K44" s="158"/>
      <c r="L44" s="158"/>
      <c r="M44" s="158"/>
      <c r="N44" s="112"/>
    </row>
    <row r="45" spans="1:14" ht="59.25" customHeight="1" outlineLevel="4">
      <c r="A45" s="165"/>
      <c r="B45" s="170" t="s">
        <v>541</v>
      </c>
      <c r="C45" s="239" t="s">
        <v>1084</v>
      </c>
      <c r="D45" s="239" t="s">
        <v>205</v>
      </c>
      <c r="E45" s="239" t="s">
        <v>542</v>
      </c>
      <c r="F45" s="626"/>
      <c r="G45" s="158">
        <v>0</v>
      </c>
      <c r="H45" s="158">
        <v>0</v>
      </c>
      <c r="I45" s="158">
        <v>114.3</v>
      </c>
      <c r="J45" s="222" t="s">
        <v>543</v>
      </c>
      <c r="K45" s="158"/>
      <c r="L45" s="158"/>
      <c r="M45" s="158"/>
      <c r="N45" s="112"/>
    </row>
    <row r="46" spans="1:14" ht="101.25" customHeight="1" outlineLevel="4">
      <c r="A46" s="165"/>
      <c r="B46" s="169" t="s">
        <v>544</v>
      </c>
      <c r="C46" s="148" t="s">
        <v>1084</v>
      </c>
      <c r="D46" s="165" t="s">
        <v>205</v>
      </c>
      <c r="E46" s="165" t="s">
        <v>545</v>
      </c>
      <c r="F46" s="157"/>
      <c r="G46" s="163">
        <f>G47</f>
        <v>3006.9166699999996</v>
      </c>
      <c r="H46" s="152"/>
      <c r="I46" s="152"/>
      <c r="J46" s="222" t="s">
        <v>543</v>
      </c>
      <c r="K46" s="146">
        <f>K47</f>
        <v>1.8</v>
      </c>
      <c r="L46" s="158"/>
      <c r="M46" s="158"/>
      <c r="N46" s="112"/>
    </row>
    <row r="47" spans="1:14" ht="76.5" customHeight="1" outlineLevel="4">
      <c r="A47" s="165"/>
      <c r="B47" s="170" t="s">
        <v>546</v>
      </c>
      <c r="C47" s="148" t="s">
        <v>1084</v>
      </c>
      <c r="D47" s="165" t="s">
        <v>205</v>
      </c>
      <c r="E47" s="165" t="s">
        <v>545</v>
      </c>
      <c r="F47" s="157"/>
      <c r="G47" s="152">
        <f>751.71667+2255.2</f>
        <v>3006.9166699999996</v>
      </c>
      <c r="H47" s="152"/>
      <c r="I47" s="152"/>
      <c r="J47" s="222" t="s">
        <v>543</v>
      </c>
      <c r="K47" s="158">
        <v>1.8</v>
      </c>
      <c r="L47" s="158"/>
      <c r="M47" s="158"/>
      <c r="N47" s="112" t="s">
        <v>547</v>
      </c>
    </row>
    <row r="48" spans="1:14" ht="98.25" customHeight="1" outlineLevel="4">
      <c r="A48" s="165"/>
      <c r="B48" s="169" t="s">
        <v>1223</v>
      </c>
      <c r="C48" s="165" t="s">
        <v>1084</v>
      </c>
      <c r="D48" s="165" t="s">
        <v>205</v>
      </c>
      <c r="E48" s="165" t="s">
        <v>548</v>
      </c>
      <c r="F48" s="157"/>
      <c r="G48" s="163">
        <f>G49+G50+G51+G52</f>
        <v>37540.6</v>
      </c>
      <c r="H48" s="163"/>
      <c r="I48" s="163"/>
      <c r="J48" s="222" t="s">
        <v>543</v>
      </c>
      <c r="K48" s="146">
        <f>K49+K50+K51+K52</f>
        <v>3.7239999999999998</v>
      </c>
      <c r="L48" s="146"/>
      <c r="M48" s="146"/>
      <c r="N48" s="153"/>
    </row>
    <row r="49" spans="1:14" ht="66.75" customHeight="1" outlineLevel="4">
      <c r="A49" s="165"/>
      <c r="B49" s="169" t="s">
        <v>549</v>
      </c>
      <c r="C49" s="148" t="s">
        <v>1084</v>
      </c>
      <c r="D49" s="165" t="s">
        <v>205</v>
      </c>
      <c r="E49" s="165" t="s">
        <v>548</v>
      </c>
      <c r="F49" s="157"/>
      <c r="G49" s="152">
        <f>386.4+3477.8</f>
        <v>3864.2000000000003</v>
      </c>
      <c r="H49" s="152"/>
      <c r="I49" s="152"/>
      <c r="J49" s="222" t="s">
        <v>543</v>
      </c>
      <c r="K49" s="158">
        <v>0.88700000000000001</v>
      </c>
      <c r="L49" s="158"/>
      <c r="M49" s="158"/>
      <c r="N49" s="112" t="s">
        <v>550</v>
      </c>
    </row>
    <row r="50" spans="1:14" ht="49.5" customHeight="1" outlineLevel="4">
      <c r="A50" s="165"/>
      <c r="B50" s="169" t="s">
        <v>551</v>
      </c>
      <c r="C50" s="148"/>
      <c r="D50" s="165"/>
      <c r="E50" s="165"/>
      <c r="F50" s="157"/>
      <c r="G50" s="152">
        <f>1127.6+10148.3</f>
        <v>11275.9</v>
      </c>
      <c r="H50" s="152"/>
      <c r="I50" s="152"/>
      <c r="J50" s="222" t="s">
        <v>543</v>
      </c>
      <c r="K50" s="171">
        <v>0.65</v>
      </c>
      <c r="L50" s="152"/>
      <c r="M50" s="152"/>
      <c r="N50" s="112" t="s">
        <v>552</v>
      </c>
    </row>
    <row r="51" spans="1:14" ht="64.5" customHeight="1" outlineLevel="4">
      <c r="A51" s="165"/>
      <c r="B51" s="169" t="s">
        <v>553</v>
      </c>
      <c r="C51" s="148"/>
      <c r="D51" s="165"/>
      <c r="E51" s="165"/>
      <c r="F51" s="157"/>
      <c r="G51" s="152">
        <f>1553.8+13984.3</f>
        <v>15538.099999999999</v>
      </c>
      <c r="H51" s="152"/>
      <c r="I51" s="152"/>
      <c r="J51" s="222" t="s">
        <v>543</v>
      </c>
      <c r="K51" s="152">
        <v>1.3</v>
      </c>
      <c r="L51" s="152"/>
      <c r="M51" s="152"/>
      <c r="N51" s="112" t="s">
        <v>554</v>
      </c>
    </row>
    <row r="52" spans="1:14" ht="47.25" customHeight="1" outlineLevel="4">
      <c r="A52" s="165"/>
      <c r="B52" s="169" t="s">
        <v>555</v>
      </c>
      <c r="C52" s="148"/>
      <c r="D52" s="165"/>
      <c r="E52" s="165"/>
      <c r="F52" s="157"/>
      <c r="G52" s="152">
        <f>686.3+6176.1</f>
        <v>6862.4000000000005</v>
      </c>
      <c r="H52" s="152"/>
      <c r="I52" s="152"/>
      <c r="J52" s="222" t="s">
        <v>543</v>
      </c>
      <c r="K52" s="152">
        <v>0.88700000000000001</v>
      </c>
      <c r="L52" s="152"/>
      <c r="M52" s="152"/>
      <c r="N52" s="112" t="s">
        <v>556</v>
      </c>
    </row>
    <row r="53" spans="1:14" ht="94.5" customHeight="1" outlineLevel="4">
      <c r="A53" s="165"/>
      <c r="B53" s="169" t="s">
        <v>1222</v>
      </c>
      <c r="C53" s="165" t="s">
        <v>1084</v>
      </c>
      <c r="D53" s="165" t="s">
        <v>205</v>
      </c>
      <c r="E53" s="165" t="s">
        <v>548</v>
      </c>
      <c r="F53" s="157"/>
      <c r="G53" s="163">
        <f>G54+G55</f>
        <v>32077.399999999998</v>
      </c>
      <c r="H53" s="152"/>
      <c r="I53" s="163">
        <f>I54+I55+I56</f>
        <v>14692.2</v>
      </c>
      <c r="J53" s="222" t="s">
        <v>543</v>
      </c>
      <c r="K53" s="163">
        <f>SUM(K54:K55)</f>
        <v>3.1919999999999997</v>
      </c>
      <c r="L53" s="152"/>
      <c r="M53" s="152"/>
      <c r="N53" s="112"/>
    </row>
    <row r="54" spans="1:14" ht="49.5" customHeight="1" outlineLevel="4">
      <c r="A54" s="165"/>
      <c r="B54" s="172" t="s">
        <v>557</v>
      </c>
      <c r="C54" s="148"/>
      <c r="D54" s="165"/>
      <c r="E54" s="165"/>
      <c r="F54" s="157"/>
      <c r="G54" s="152">
        <f>2341.1+21069.3</f>
        <v>23410.399999999998</v>
      </c>
      <c r="H54" s="152"/>
      <c r="I54" s="152"/>
      <c r="J54" s="222" t="s">
        <v>543</v>
      </c>
      <c r="K54" s="173">
        <v>2.0499999999999998</v>
      </c>
      <c r="L54" s="152"/>
      <c r="M54" s="152"/>
      <c r="N54" s="112" t="s">
        <v>558</v>
      </c>
    </row>
    <row r="55" spans="1:14" ht="42.75" customHeight="1" outlineLevel="4">
      <c r="A55" s="165"/>
      <c r="B55" s="172" t="s">
        <v>559</v>
      </c>
      <c r="C55" s="148"/>
      <c r="D55" s="165"/>
      <c r="E55" s="165"/>
      <c r="F55" s="157"/>
      <c r="G55" s="152">
        <f>866.7+7800.3</f>
        <v>8667</v>
      </c>
      <c r="H55" s="152"/>
      <c r="I55" s="152"/>
      <c r="J55" s="222" t="s">
        <v>543</v>
      </c>
      <c r="K55" s="173">
        <v>1.1419999999999999</v>
      </c>
      <c r="L55" s="152"/>
      <c r="M55" s="152"/>
      <c r="N55" s="112" t="s">
        <v>560</v>
      </c>
    </row>
    <row r="56" spans="1:14" ht="42.75" customHeight="1" outlineLevel="4">
      <c r="A56" s="165"/>
      <c r="B56" s="627" t="s">
        <v>1548</v>
      </c>
      <c r="C56" s="239"/>
      <c r="D56" s="239"/>
      <c r="E56" s="239"/>
      <c r="F56" s="626"/>
      <c r="G56" s="158"/>
      <c r="H56" s="158"/>
      <c r="I56" s="158">
        <v>14692.2</v>
      </c>
      <c r="J56" s="222" t="s">
        <v>543</v>
      </c>
      <c r="K56" s="173"/>
      <c r="L56" s="152"/>
      <c r="M56" s="152">
        <v>2.2999999999999998</v>
      </c>
      <c r="N56" s="112"/>
    </row>
    <row r="57" spans="1:14" ht="108" customHeight="1" outlineLevel="4">
      <c r="A57" s="165"/>
      <c r="B57" s="174" t="s">
        <v>1221</v>
      </c>
      <c r="C57" s="165" t="s">
        <v>1084</v>
      </c>
      <c r="D57" s="165" t="s">
        <v>205</v>
      </c>
      <c r="E57" s="165" t="s">
        <v>548</v>
      </c>
      <c r="F57" s="157"/>
      <c r="G57" s="163">
        <f>G58</f>
        <v>14393.199999999999</v>
      </c>
      <c r="H57" s="163">
        <f>H59+H60</f>
        <v>14692.2</v>
      </c>
      <c r="I57" s="163"/>
      <c r="J57" s="222" t="s">
        <v>543</v>
      </c>
      <c r="K57" s="175" t="e">
        <f>K58+K59+K60+#REF!</f>
        <v>#REF!</v>
      </c>
      <c r="L57" s="175">
        <f>L58+L59+L60</f>
        <v>0.45999999999999996</v>
      </c>
      <c r="M57" s="175"/>
      <c r="N57" s="112"/>
    </row>
    <row r="58" spans="1:14" ht="50.25" customHeight="1" outlineLevel="4">
      <c r="A58" s="165"/>
      <c r="B58" s="174" t="s">
        <v>561</v>
      </c>
      <c r="C58" s="148"/>
      <c r="D58" s="165"/>
      <c r="E58" s="165"/>
      <c r="F58" s="157"/>
      <c r="G58" s="152">
        <f>1439.3+12953.9</f>
        <v>14393.199999999999</v>
      </c>
      <c r="H58" s="152"/>
      <c r="I58" s="152"/>
      <c r="J58" s="222" t="s">
        <v>543</v>
      </c>
      <c r="K58" s="173">
        <v>2.089</v>
      </c>
      <c r="L58" s="152"/>
      <c r="M58" s="152"/>
      <c r="N58" s="112" t="s">
        <v>562</v>
      </c>
    </row>
    <row r="59" spans="1:14" ht="63" customHeight="1" outlineLevel="4">
      <c r="A59" s="165"/>
      <c r="B59" s="174" t="s">
        <v>563</v>
      </c>
      <c r="C59" s="148"/>
      <c r="D59" s="165"/>
      <c r="E59" s="165"/>
      <c r="F59" s="157"/>
      <c r="G59" s="152"/>
      <c r="H59" s="152">
        <f>348.7+3138.4</f>
        <v>3487.1</v>
      </c>
      <c r="I59" s="152"/>
      <c r="J59" s="222" t="s">
        <v>543</v>
      </c>
      <c r="K59" s="173"/>
      <c r="L59" s="152">
        <v>0.21</v>
      </c>
      <c r="M59" s="152"/>
      <c r="N59" s="112" t="s">
        <v>564</v>
      </c>
    </row>
    <row r="60" spans="1:14" ht="47.25" customHeight="1" outlineLevel="4">
      <c r="A60" s="165"/>
      <c r="B60" s="174" t="s">
        <v>565</v>
      </c>
      <c r="C60" s="148"/>
      <c r="D60" s="165"/>
      <c r="E60" s="165"/>
      <c r="F60" s="157"/>
      <c r="G60" s="152"/>
      <c r="H60" s="152">
        <f>1120.5+10084.6</f>
        <v>11205.1</v>
      </c>
      <c r="I60" s="152"/>
      <c r="J60" s="222" t="s">
        <v>543</v>
      </c>
      <c r="K60" s="173"/>
      <c r="L60" s="152">
        <v>0.25</v>
      </c>
      <c r="M60" s="152"/>
      <c r="N60" s="112"/>
    </row>
    <row r="61" spans="1:14" ht="87.75" customHeight="1" outlineLevel="4">
      <c r="A61" s="165"/>
      <c r="B61" s="174" t="s">
        <v>1220</v>
      </c>
      <c r="C61" s="148" t="s">
        <v>1084</v>
      </c>
      <c r="D61" s="165" t="s">
        <v>205</v>
      </c>
      <c r="E61" s="165" t="s">
        <v>548</v>
      </c>
      <c r="F61" s="155"/>
      <c r="G61" s="163">
        <f>G62+G63+G64+G65+G66</f>
        <v>5060.7</v>
      </c>
      <c r="H61" s="163"/>
      <c r="I61" s="163"/>
      <c r="J61" s="222" t="s">
        <v>543</v>
      </c>
      <c r="K61" s="175">
        <f>SUM(K62:K66)</f>
        <v>1.7</v>
      </c>
      <c r="L61" s="175"/>
      <c r="M61" s="175"/>
      <c r="N61" s="112"/>
    </row>
    <row r="62" spans="1:14" ht="51" outlineLevel="4">
      <c r="A62" s="165"/>
      <c r="B62" s="172" t="s">
        <v>1545</v>
      </c>
      <c r="C62" s="148"/>
      <c r="D62" s="165"/>
      <c r="E62" s="165"/>
      <c r="F62" s="157"/>
      <c r="G62" s="152">
        <f>147.1+1323.5</f>
        <v>1470.6</v>
      </c>
      <c r="H62" s="152"/>
      <c r="I62" s="152"/>
      <c r="J62" s="222" t="s">
        <v>543</v>
      </c>
      <c r="K62" s="173">
        <v>0.8</v>
      </c>
      <c r="L62" s="152"/>
      <c r="M62" s="152"/>
      <c r="N62" s="173" t="s">
        <v>566</v>
      </c>
    </row>
    <row r="63" spans="1:14" ht="51" outlineLevel="4">
      <c r="A63" s="165"/>
      <c r="B63" s="621" t="s">
        <v>1541</v>
      </c>
      <c r="C63" s="148"/>
      <c r="D63" s="165"/>
      <c r="E63" s="165"/>
      <c r="F63" s="157"/>
      <c r="G63" s="152">
        <f>36.6+329.9</f>
        <v>366.5</v>
      </c>
      <c r="H63" s="152"/>
      <c r="I63" s="152"/>
      <c r="J63" s="222" t="s">
        <v>543</v>
      </c>
      <c r="K63" s="173">
        <v>0.2</v>
      </c>
      <c r="L63" s="152"/>
      <c r="M63" s="152"/>
      <c r="N63" s="173" t="s">
        <v>567</v>
      </c>
    </row>
    <row r="64" spans="1:14" ht="51" outlineLevel="4">
      <c r="A64" s="165"/>
      <c r="B64" s="172" t="s">
        <v>568</v>
      </c>
      <c r="C64" s="148"/>
      <c r="D64" s="165"/>
      <c r="E64" s="165"/>
      <c r="F64" s="157"/>
      <c r="G64" s="152">
        <f>169.9+1528.7</f>
        <v>1698.6000000000001</v>
      </c>
      <c r="H64" s="152"/>
      <c r="I64" s="152"/>
      <c r="J64" s="222" t="s">
        <v>543</v>
      </c>
      <c r="K64" s="173">
        <v>0.2</v>
      </c>
      <c r="L64" s="152"/>
      <c r="M64" s="152"/>
      <c r="N64" s="173" t="s">
        <v>569</v>
      </c>
    </row>
    <row r="65" spans="1:14" ht="34.5" customHeight="1" outlineLevel="4">
      <c r="A65" s="165"/>
      <c r="B65" s="172" t="s">
        <v>570</v>
      </c>
      <c r="C65" s="148"/>
      <c r="D65" s="165"/>
      <c r="E65" s="165"/>
      <c r="F65" s="157"/>
      <c r="G65" s="152">
        <f>40.2+361.4</f>
        <v>401.59999999999997</v>
      </c>
      <c r="H65" s="152"/>
      <c r="I65" s="152"/>
      <c r="J65" s="222" t="s">
        <v>543</v>
      </c>
      <c r="K65" s="173">
        <v>0.3</v>
      </c>
      <c r="L65" s="152"/>
      <c r="M65" s="152"/>
      <c r="N65" s="173" t="s">
        <v>571</v>
      </c>
    </row>
    <row r="66" spans="1:14" ht="53.25" customHeight="1" outlineLevel="4">
      <c r="A66" s="165"/>
      <c r="B66" s="176" t="s">
        <v>572</v>
      </c>
      <c r="C66" s="148"/>
      <c r="D66" s="165"/>
      <c r="E66" s="165"/>
      <c r="F66" s="157"/>
      <c r="G66" s="152">
        <f>112.3+1011.1</f>
        <v>1123.4000000000001</v>
      </c>
      <c r="H66" s="152"/>
      <c r="I66" s="152"/>
      <c r="J66" s="222" t="s">
        <v>543</v>
      </c>
      <c r="K66" s="173">
        <v>0.2</v>
      </c>
      <c r="L66" s="152"/>
      <c r="M66" s="152"/>
      <c r="N66" s="173" t="s">
        <v>573</v>
      </c>
    </row>
    <row r="67" spans="1:14" ht="66.75" customHeight="1" outlineLevel="4">
      <c r="A67" s="161"/>
      <c r="B67" s="177" t="s">
        <v>574</v>
      </c>
      <c r="C67" s="161"/>
      <c r="D67" s="161"/>
      <c r="E67" s="161" t="s">
        <v>575</v>
      </c>
      <c r="F67" s="155"/>
      <c r="G67" s="175">
        <f>525+G74+G76</f>
        <v>123211.5</v>
      </c>
      <c r="H67" s="175">
        <f>H68+H70+H71+H72+H74+H76</f>
        <v>195758.8</v>
      </c>
      <c r="I67" s="175">
        <f>I72+I74+I76</f>
        <v>101948.9</v>
      </c>
      <c r="J67" s="178"/>
      <c r="K67" s="175"/>
      <c r="L67" s="175"/>
      <c r="M67" s="175"/>
      <c r="N67" s="179"/>
    </row>
    <row r="68" spans="1:14" ht="48" customHeight="1" outlineLevel="4">
      <c r="A68" s="165"/>
      <c r="B68" s="169" t="s">
        <v>576</v>
      </c>
      <c r="C68" s="165" t="s">
        <v>1084</v>
      </c>
      <c r="D68" s="165" t="s">
        <v>205</v>
      </c>
      <c r="E68" s="165" t="s">
        <v>577</v>
      </c>
      <c r="F68" s="157"/>
      <c r="G68" s="152"/>
      <c r="H68" s="158">
        <v>1521.8</v>
      </c>
      <c r="I68" s="152"/>
      <c r="J68" s="105" t="s">
        <v>578</v>
      </c>
      <c r="K68" s="152"/>
      <c r="L68" s="152">
        <v>0.8</v>
      </c>
      <c r="M68" s="152"/>
      <c r="N68" s="112" t="s">
        <v>579</v>
      </c>
    </row>
    <row r="69" spans="1:14" ht="76.5" customHeight="1" outlineLevel="4">
      <c r="A69" s="165"/>
      <c r="B69" s="149" t="s">
        <v>580</v>
      </c>
      <c r="C69" s="165" t="s">
        <v>1084</v>
      </c>
      <c r="D69" s="165" t="s">
        <v>205</v>
      </c>
      <c r="E69" s="165" t="s">
        <v>581</v>
      </c>
      <c r="F69" s="157"/>
      <c r="G69" s="152">
        <v>525</v>
      </c>
      <c r="H69" s="152"/>
      <c r="I69" s="152"/>
      <c r="J69" s="105" t="s">
        <v>578</v>
      </c>
      <c r="K69" s="152" t="s">
        <v>207</v>
      </c>
      <c r="L69" s="152"/>
      <c r="M69" s="152"/>
      <c r="N69" s="112" t="s">
        <v>582</v>
      </c>
    </row>
    <row r="70" spans="1:14" ht="65.25" customHeight="1" outlineLevel="4">
      <c r="A70" s="165"/>
      <c r="B70" s="180" t="s">
        <v>583</v>
      </c>
      <c r="C70" s="165" t="s">
        <v>1084</v>
      </c>
      <c r="D70" s="165" t="s">
        <v>205</v>
      </c>
      <c r="E70" s="165" t="s">
        <v>584</v>
      </c>
      <c r="F70" s="157"/>
      <c r="G70" s="152"/>
      <c r="H70" s="152">
        <v>1953.2</v>
      </c>
      <c r="I70" s="152"/>
      <c r="J70" s="105" t="s">
        <v>578</v>
      </c>
      <c r="K70" s="152"/>
      <c r="L70" s="181">
        <v>0.7</v>
      </c>
      <c r="M70" s="152"/>
      <c r="N70" s="112" t="s">
        <v>582</v>
      </c>
    </row>
    <row r="71" spans="1:14" ht="75.75" customHeight="1" outlineLevel="4">
      <c r="A71" s="165"/>
      <c r="B71" s="182" t="s">
        <v>585</v>
      </c>
      <c r="C71" s="165" t="s">
        <v>1084</v>
      </c>
      <c r="D71" s="165" t="s">
        <v>205</v>
      </c>
      <c r="E71" s="165" t="s">
        <v>586</v>
      </c>
      <c r="F71" s="157"/>
      <c r="G71" s="152"/>
      <c r="H71" s="152">
        <v>1223.2</v>
      </c>
      <c r="I71" s="152"/>
      <c r="J71" s="105" t="s">
        <v>587</v>
      </c>
      <c r="K71" s="152"/>
      <c r="L71" s="181">
        <v>0.7</v>
      </c>
      <c r="M71" s="152"/>
      <c r="N71" s="112" t="s">
        <v>582</v>
      </c>
    </row>
    <row r="72" spans="1:14" ht="99.75" customHeight="1" outlineLevel="4">
      <c r="A72" s="165"/>
      <c r="B72" s="174" t="s">
        <v>1219</v>
      </c>
      <c r="C72" s="165" t="s">
        <v>1084</v>
      </c>
      <c r="D72" s="165" t="s">
        <v>205</v>
      </c>
      <c r="E72" s="165" t="s">
        <v>588</v>
      </c>
      <c r="F72" s="155"/>
      <c r="G72" s="163"/>
      <c r="H72" s="163">
        <f>H73</f>
        <v>31667.8</v>
      </c>
      <c r="I72" s="163">
        <f>I73</f>
        <v>31667.8</v>
      </c>
      <c r="J72" s="183" t="s">
        <v>589</v>
      </c>
      <c r="K72" s="163"/>
      <c r="L72" s="184">
        <f>SUM(L73)</f>
        <v>2.1389999999999998</v>
      </c>
      <c r="M72" s="163"/>
      <c r="N72" s="179"/>
    </row>
    <row r="73" spans="1:14" ht="45.75" customHeight="1" outlineLevel="4">
      <c r="A73" s="165"/>
      <c r="B73" s="170" t="s">
        <v>590</v>
      </c>
      <c r="C73" s="239"/>
      <c r="D73" s="239"/>
      <c r="E73" s="239"/>
      <c r="F73" s="626"/>
      <c r="G73" s="158"/>
      <c r="H73" s="158">
        <f>3166.8+28501</f>
        <v>31667.8</v>
      </c>
      <c r="I73" s="158">
        <v>31667.8</v>
      </c>
      <c r="J73" s="105" t="s">
        <v>589</v>
      </c>
      <c r="K73" s="152"/>
      <c r="L73" s="185">
        <v>2.1389999999999998</v>
      </c>
      <c r="M73" s="152"/>
      <c r="N73" s="112"/>
    </row>
    <row r="74" spans="1:14" ht="103.5" customHeight="1" outlineLevel="4">
      <c r="A74" s="165"/>
      <c r="B74" s="174" t="s">
        <v>1218</v>
      </c>
      <c r="C74" s="165" t="s">
        <v>1084</v>
      </c>
      <c r="D74" s="165" t="s">
        <v>205</v>
      </c>
      <c r="E74" s="165" t="s">
        <v>588</v>
      </c>
      <c r="F74" s="157"/>
      <c r="G74" s="163">
        <v>0</v>
      </c>
      <c r="H74" s="163">
        <f>H75</f>
        <v>37540.6</v>
      </c>
      <c r="I74" s="163">
        <f>I75</f>
        <v>6801.5</v>
      </c>
      <c r="J74" s="183" t="s">
        <v>591</v>
      </c>
      <c r="K74" s="163">
        <f>K75</f>
        <v>0</v>
      </c>
      <c r="L74" s="184">
        <f>L75</f>
        <v>1</v>
      </c>
      <c r="M74" s="163">
        <f>M75</f>
        <v>0</v>
      </c>
      <c r="N74" s="112"/>
    </row>
    <row r="75" spans="1:14" ht="74.25" customHeight="1" outlineLevel="4">
      <c r="A75" s="165"/>
      <c r="B75" s="170" t="s">
        <v>592</v>
      </c>
      <c r="C75" s="239"/>
      <c r="D75" s="239"/>
      <c r="E75" s="239"/>
      <c r="F75" s="626"/>
      <c r="G75" s="158"/>
      <c r="H75" s="158">
        <f>3754.1+33786.5</f>
        <v>37540.6</v>
      </c>
      <c r="I75" s="158">
        <v>6801.5</v>
      </c>
      <c r="J75" s="105" t="s">
        <v>591</v>
      </c>
      <c r="K75" s="152"/>
      <c r="L75" s="185">
        <v>1</v>
      </c>
      <c r="M75" s="152"/>
      <c r="N75" s="112" t="s">
        <v>593</v>
      </c>
    </row>
    <row r="76" spans="1:14" ht="173.25" customHeight="1" outlineLevel="4">
      <c r="A76" s="165"/>
      <c r="B76" s="174" t="s">
        <v>1217</v>
      </c>
      <c r="C76" s="165" t="s">
        <v>1084</v>
      </c>
      <c r="D76" s="165" t="s">
        <v>205</v>
      </c>
      <c r="E76" s="165" t="s">
        <v>1224</v>
      </c>
      <c r="F76" s="157"/>
      <c r="G76" s="163">
        <f>G77</f>
        <v>122686.5</v>
      </c>
      <c r="H76" s="163">
        <f t="shared" ref="H76:I76" si="1">H77</f>
        <v>121852.2</v>
      </c>
      <c r="I76" s="163">
        <f t="shared" si="1"/>
        <v>63479.599999999991</v>
      </c>
      <c r="J76" s="183" t="s">
        <v>589</v>
      </c>
      <c r="K76" s="163">
        <f>SUM(K77)</f>
        <v>3.66</v>
      </c>
      <c r="L76" s="163">
        <f>SUM(L77)</f>
        <v>4.4400000000000004</v>
      </c>
      <c r="M76" s="163">
        <f>SUM(M77)</f>
        <v>1.7070000000000001</v>
      </c>
      <c r="N76" s="179"/>
    </row>
    <row r="77" spans="1:14" ht="69" customHeight="1" outlineLevel="4">
      <c r="A77" s="165"/>
      <c r="B77" s="186" t="s">
        <v>594</v>
      </c>
      <c r="C77" s="165"/>
      <c r="D77" s="165"/>
      <c r="E77" s="165"/>
      <c r="F77" s="157"/>
      <c r="G77" s="152">
        <f>34118+88568.5</f>
        <v>122686.5</v>
      </c>
      <c r="H77" s="152">
        <f>32779.1+86133.3+2939.8</f>
        <v>121852.2</v>
      </c>
      <c r="I77" s="152">
        <f>2713.3+24420+34397.6+1948.7</f>
        <v>63479.599999999991</v>
      </c>
      <c r="J77" s="105" t="s">
        <v>589</v>
      </c>
      <c r="K77" s="173">
        <v>3.66</v>
      </c>
      <c r="L77" s="152">
        <v>4.4400000000000004</v>
      </c>
      <c r="M77" s="152">
        <v>1.7070000000000001</v>
      </c>
      <c r="N77" s="112"/>
    </row>
    <row r="78" spans="1:14" ht="45" customHeight="1" outlineLevel="4">
      <c r="A78" s="161"/>
      <c r="B78" s="142" t="s">
        <v>595</v>
      </c>
      <c r="C78" s="165"/>
      <c r="D78" s="165"/>
      <c r="E78" s="161" t="s">
        <v>204</v>
      </c>
      <c r="F78" s="157"/>
      <c r="G78" s="163">
        <f>G79</f>
        <v>12177.7</v>
      </c>
      <c r="H78" s="163">
        <f t="shared" ref="H78" si="2">H79</f>
        <v>11440</v>
      </c>
      <c r="I78" s="163">
        <f>I79</f>
        <v>10958.3</v>
      </c>
      <c r="J78" s="173"/>
      <c r="K78" s="146" t="str">
        <f>K79</f>
        <v>Не менее 95</v>
      </c>
      <c r="L78" s="163" t="str">
        <f>L79</f>
        <v>Не менее 95</v>
      </c>
      <c r="M78" s="163" t="str">
        <f>M79</f>
        <v>Не менее 95</v>
      </c>
      <c r="N78" s="112"/>
    </row>
    <row r="79" spans="1:14" ht="45" customHeight="1" outlineLevel="4">
      <c r="A79" s="165"/>
      <c r="B79" s="196" t="s">
        <v>596</v>
      </c>
      <c r="C79" s="165"/>
      <c r="D79" s="165"/>
      <c r="E79" s="165" t="s">
        <v>206</v>
      </c>
      <c r="F79" s="157"/>
      <c r="G79" s="152">
        <f>G80</f>
        <v>12177.7</v>
      </c>
      <c r="H79" s="152">
        <f t="shared" ref="H79:I79" si="3">H80</f>
        <v>11440</v>
      </c>
      <c r="I79" s="152">
        <f t="shared" si="3"/>
        <v>10958.3</v>
      </c>
      <c r="J79" s="187" t="s">
        <v>597</v>
      </c>
      <c r="K79" s="194" t="s">
        <v>598</v>
      </c>
      <c r="L79" s="194" t="s">
        <v>598</v>
      </c>
      <c r="M79" s="194" t="s">
        <v>598</v>
      </c>
      <c r="N79" s="112"/>
    </row>
    <row r="80" spans="1:14" ht="134.25" customHeight="1" outlineLevel="4">
      <c r="A80" s="165"/>
      <c r="B80" s="196" t="s">
        <v>599</v>
      </c>
      <c r="C80" s="148" t="s">
        <v>1084</v>
      </c>
      <c r="D80" s="165" t="s">
        <v>10</v>
      </c>
      <c r="E80" s="165" t="s">
        <v>600</v>
      </c>
      <c r="F80" s="157"/>
      <c r="G80" s="152">
        <v>12177.7</v>
      </c>
      <c r="H80" s="152">
        <v>11440</v>
      </c>
      <c r="I80" s="152">
        <v>10958.3</v>
      </c>
      <c r="J80" s="223" t="s">
        <v>601</v>
      </c>
      <c r="K80" s="188" t="s">
        <v>602</v>
      </c>
      <c r="L80" s="188" t="s">
        <v>602</v>
      </c>
      <c r="M80" s="188" t="s">
        <v>602</v>
      </c>
      <c r="N80" s="189"/>
    </row>
    <row r="81" spans="1:14" hidden="1" outlineLevel="4">
      <c r="A81" s="165"/>
      <c r="B81" s="149" t="s">
        <v>603</v>
      </c>
      <c r="C81" s="154"/>
      <c r="D81" s="154"/>
      <c r="E81" s="154"/>
      <c r="F81" s="157"/>
      <c r="G81" s="190"/>
      <c r="H81" s="190"/>
      <c r="I81" s="190"/>
      <c r="J81" s="191"/>
      <c r="K81" s="192"/>
      <c r="L81" s="192"/>
      <c r="M81" s="192"/>
      <c r="N81" s="153"/>
    </row>
    <row r="82" spans="1:14" hidden="1" outlineLevel="3">
      <c r="A82" s="161"/>
      <c r="B82" s="160" t="s">
        <v>604</v>
      </c>
      <c r="C82" s="162"/>
      <c r="D82" s="162"/>
      <c r="E82" s="162"/>
      <c r="F82" s="155"/>
      <c r="G82" s="193"/>
      <c r="H82" s="193"/>
      <c r="I82" s="193"/>
      <c r="J82" s="155"/>
      <c r="K82" s="155"/>
      <c r="L82" s="155"/>
      <c r="M82" s="155"/>
      <c r="N82" s="153"/>
    </row>
    <row r="83" spans="1:14" ht="79.5" hidden="1" customHeight="1" outlineLevel="4">
      <c r="A83" s="165"/>
      <c r="B83" s="159" t="s">
        <v>605</v>
      </c>
      <c r="C83" s="162"/>
      <c r="D83" s="162"/>
      <c r="E83" s="162"/>
      <c r="F83" s="155"/>
      <c r="G83" s="35">
        <v>60456.696670000005</v>
      </c>
      <c r="H83" s="35">
        <v>62017.7</v>
      </c>
      <c r="I83" s="35">
        <v>63220.3</v>
      </c>
      <c r="J83" s="35"/>
      <c r="K83" s="35"/>
      <c r="L83" s="35"/>
      <c r="M83" s="35"/>
      <c r="N83" s="153"/>
    </row>
    <row r="84" spans="1:14" ht="79.5" hidden="1" customHeight="1" outlineLevel="3">
      <c r="A84" s="161"/>
      <c r="B84" s="149" t="s">
        <v>606</v>
      </c>
      <c r="C84" s="162"/>
      <c r="D84" s="162"/>
      <c r="E84" s="162"/>
      <c r="F84" s="155"/>
      <c r="G84" s="155">
        <v>14412.1</v>
      </c>
      <c r="H84" s="155">
        <v>14159.6</v>
      </c>
      <c r="I84" s="155">
        <v>14159.6</v>
      </c>
      <c r="J84" s="35"/>
      <c r="K84" s="163"/>
      <c r="L84" s="163"/>
      <c r="M84" s="163"/>
      <c r="N84" s="153"/>
    </row>
    <row r="85" spans="1:14" ht="25.5" outlineLevel="4">
      <c r="A85" s="161"/>
      <c r="B85" s="159" t="s">
        <v>607</v>
      </c>
      <c r="C85" s="162"/>
      <c r="D85" s="162"/>
      <c r="E85" s="162"/>
      <c r="F85" s="155"/>
      <c r="G85" s="35">
        <f>G8+G78</f>
        <v>277740.71666999999</v>
      </c>
      <c r="H85" s="35">
        <f>H8+H78</f>
        <v>267880.55</v>
      </c>
      <c r="I85" s="35">
        <f>I8+I78</f>
        <v>208506.69999999998</v>
      </c>
      <c r="J85" s="35"/>
      <c r="K85" s="35"/>
      <c r="L85" s="35"/>
      <c r="M85" s="35"/>
      <c r="N85" s="153"/>
    </row>
    <row r="86" spans="1:14" ht="12.75" customHeight="1">
      <c r="A86" s="131"/>
      <c r="B86" s="131"/>
      <c r="C86" s="131"/>
      <c r="D86" s="131"/>
      <c r="E86" s="131"/>
      <c r="F86" s="131"/>
      <c r="G86" s="131"/>
      <c r="H86" s="131"/>
      <c r="I86" s="131"/>
      <c r="J86" s="131"/>
      <c r="K86" s="131"/>
      <c r="L86" s="131"/>
      <c r="M86" s="131"/>
      <c r="N86" s="131"/>
    </row>
  </sheetData>
  <mergeCells count="20">
    <mergeCell ref="K1:N1"/>
    <mergeCell ref="A2:N2"/>
    <mergeCell ref="B3:N3"/>
    <mergeCell ref="A4:G4"/>
    <mergeCell ref="A5:A6"/>
    <mergeCell ref="B5:B6"/>
    <mergeCell ref="C5:E5"/>
    <mergeCell ref="F5:F6"/>
    <mergeCell ref="G5:I5"/>
    <mergeCell ref="J5:J6"/>
    <mergeCell ref="K5:M5"/>
    <mergeCell ref="N5:N6"/>
    <mergeCell ref="G16:G17"/>
    <mergeCell ref="H16:H17"/>
    <mergeCell ref="I16:I17"/>
    <mergeCell ref="A16:A17"/>
    <mergeCell ref="B16:B17"/>
    <mergeCell ref="C16:C17"/>
    <mergeCell ref="D16:D17"/>
    <mergeCell ref="E16:E17"/>
  </mergeCells>
  <pageMargins left="7.874015748031496E-2" right="0" top="0.31496062992125984" bottom="0.35433070866141736"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L74"/>
  <sheetViews>
    <sheetView topLeftCell="B1" zoomScale="90" zoomScaleNormal="90" workbookViewId="0">
      <selection activeCell="D15" sqref="D15"/>
    </sheetView>
  </sheetViews>
  <sheetFormatPr defaultRowHeight="12.75"/>
  <cols>
    <col min="1" max="1" width="6.5703125" style="457" customWidth="1"/>
    <col min="2" max="2" width="76.5703125" style="258" customWidth="1"/>
    <col min="3" max="3" width="7.85546875" style="258" customWidth="1"/>
    <col min="4" max="4" width="9" style="258" customWidth="1"/>
    <col min="5" max="5" width="14" style="457" customWidth="1"/>
    <col min="6" max="6" width="10.7109375" style="457" customWidth="1"/>
    <col min="7" max="7" width="11.28515625" style="457" customWidth="1"/>
    <col min="8" max="8" width="10.5703125" style="457" customWidth="1"/>
    <col min="9" max="9" width="26.7109375" style="443" customWidth="1"/>
    <col min="10" max="10" width="8.42578125" style="457" customWidth="1"/>
    <col min="11" max="11" width="8.85546875" style="457" customWidth="1"/>
    <col min="12" max="12" width="8.140625" style="457" customWidth="1"/>
    <col min="13" max="253" width="9.140625" style="457"/>
    <col min="254" max="254" width="6.5703125" style="457" customWidth="1"/>
    <col min="255" max="255" width="82.140625" style="457" customWidth="1"/>
    <col min="256" max="256" width="5.7109375" style="457" customWidth="1"/>
    <col min="257" max="257" width="6.85546875" style="457" customWidth="1"/>
    <col min="258" max="258" width="12.5703125" style="457" customWidth="1"/>
    <col min="259" max="259" width="10.7109375" style="457" customWidth="1"/>
    <col min="260" max="260" width="10" style="457" bestFit="1" customWidth="1"/>
    <col min="261" max="261" width="10.5703125" style="457" customWidth="1"/>
    <col min="262" max="262" width="26.7109375" style="457" customWidth="1"/>
    <col min="263" max="263" width="8.42578125" style="457" customWidth="1"/>
    <col min="264" max="264" width="8.85546875" style="457" customWidth="1"/>
    <col min="265" max="265" width="8.140625" style="457" customWidth="1"/>
    <col min="266" max="266" width="12" style="457" customWidth="1"/>
    <col min="267" max="509" width="9.140625" style="457"/>
    <col min="510" max="510" width="6.5703125" style="457" customWidth="1"/>
    <col min="511" max="511" width="82.140625" style="457" customWidth="1"/>
    <col min="512" max="512" width="5.7109375" style="457" customWidth="1"/>
    <col min="513" max="513" width="6.85546875" style="457" customWidth="1"/>
    <col min="514" max="514" width="12.5703125" style="457" customWidth="1"/>
    <col min="515" max="515" width="10.7109375" style="457" customWidth="1"/>
    <col min="516" max="516" width="10" style="457" bestFit="1" customWidth="1"/>
    <col min="517" max="517" width="10.5703125" style="457" customWidth="1"/>
    <col min="518" max="518" width="26.7109375" style="457" customWidth="1"/>
    <col min="519" max="519" width="8.42578125" style="457" customWidth="1"/>
    <col min="520" max="520" width="8.85546875" style="457" customWidth="1"/>
    <col min="521" max="521" width="8.140625" style="457" customWidth="1"/>
    <col min="522" max="522" width="12" style="457" customWidth="1"/>
    <col min="523" max="765" width="9.140625" style="457"/>
    <col min="766" max="766" width="6.5703125" style="457" customWidth="1"/>
    <col min="767" max="767" width="82.140625" style="457" customWidth="1"/>
    <col min="768" max="768" width="5.7109375" style="457" customWidth="1"/>
    <col min="769" max="769" width="6.85546875" style="457" customWidth="1"/>
    <col min="770" max="770" width="12.5703125" style="457" customWidth="1"/>
    <col min="771" max="771" width="10.7109375" style="457" customWidth="1"/>
    <col min="772" max="772" width="10" style="457" bestFit="1" customWidth="1"/>
    <col min="773" max="773" width="10.5703125" style="457" customWidth="1"/>
    <col min="774" max="774" width="26.7109375" style="457" customWidth="1"/>
    <col min="775" max="775" width="8.42578125" style="457" customWidth="1"/>
    <col min="776" max="776" width="8.85546875" style="457" customWidth="1"/>
    <col min="777" max="777" width="8.140625" style="457" customWidth="1"/>
    <col min="778" max="778" width="12" style="457" customWidth="1"/>
    <col min="779" max="1021" width="9.140625" style="457"/>
    <col min="1022" max="1022" width="6.5703125" style="457" customWidth="1"/>
    <col min="1023" max="1023" width="82.140625" style="457" customWidth="1"/>
    <col min="1024" max="1024" width="5.7109375" style="457" customWidth="1"/>
    <col min="1025" max="1025" width="6.85546875" style="457" customWidth="1"/>
    <col min="1026" max="1026" width="12.5703125" style="457" customWidth="1"/>
    <col min="1027" max="1027" width="10.7109375" style="457" customWidth="1"/>
    <col min="1028" max="1028" width="10" style="457" bestFit="1" customWidth="1"/>
    <col min="1029" max="1029" width="10.5703125" style="457" customWidth="1"/>
    <col min="1030" max="1030" width="26.7109375" style="457" customWidth="1"/>
    <col min="1031" max="1031" width="8.42578125" style="457" customWidth="1"/>
    <col min="1032" max="1032" width="8.85546875" style="457" customWidth="1"/>
    <col min="1033" max="1033" width="8.140625" style="457" customWidth="1"/>
    <col min="1034" max="1034" width="12" style="457" customWidth="1"/>
    <col min="1035" max="1277" width="9.140625" style="457"/>
    <col min="1278" max="1278" width="6.5703125" style="457" customWidth="1"/>
    <col min="1279" max="1279" width="82.140625" style="457" customWidth="1"/>
    <col min="1280" max="1280" width="5.7109375" style="457" customWidth="1"/>
    <col min="1281" max="1281" width="6.85546875" style="457" customWidth="1"/>
    <col min="1282" max="1282" width="12.5703125" style="457" customWidth="1"/>
    <col min="1283" max="1283" width="10.7109375" style="457" customWidth="1"/>
    <col min="1284" max="1284" width="10" style="457" bestFit="1" customWidth="1"/>
    <col min="1285" max="1285" width="10.5703125" style="457" customWidth="1"/>
    <col min="1286" max="1286" width="26.7109375" style="457" customWidth="1"/>
    <col min="1287" max="1287" width="8.42578125" style="457" customWidth="1"/>
    <col min="1288" max="1288" width="8.85546875" style="457" customWidth="1"/>
    <col min="1289" max="1289" width="8.140625" style="457" customWidth="1"/>
    <col min="1290" max="1290" width="12" style="457" customWidth="1"/>
    <col min="1291" max="1533" width="9.140625" style="457"/>
    <col min="1534" max="1534" width="6.5703125" style="457" customWidth="1"/>
    <col min="1535" max="1535" width="82.140625" style="457" customWidth="1"/>
    <col min="1536" max="1536" width="5.7109375" style="457" customWidth="1"/>
    <col min="1537" max="1537" width="6.85546875" style="457" customWidth="1"/>
    <col min="1538" max="1538" width="12.5703125" style="457" customWidth="1"/>
    <col min="1539" max="1539" width="10.7109375" style="457" customWidth="1"/>
    <col min="1540" max="1540" width="10" style="457" bestFit="1" customWidth="1"/>
    <col min="1541" max="1541" width="10.5703125" style="457" customWidth="1"/>
    <col min="1542" max="1542" width="26.7109375" style="457" customWidth="1"/>
    <col min="1543" max="1543" width="8.42578125" style="457" customWidth="1"/>
    <col min="1544" max="1544" width="8.85546875" style="457" customWidth="1"/>
    <col min="1545" max="1545" width="8.140625" style="457" customWidth="1"/>
    <col min="1546" max="1546" width="12" style="457" customWidth="1"/>
    <col min="1547" max="1789" width="9.140625" style="457"/>
    <col min="1790" max="1790" width="6.5703125" style="457" customWidth="1"/>
    <col min="1791" max="1791" width="82.140625" style="457" customWidth="1"/>
    <col min="1792" max="1792" width="5.7109375" style="457" customWidth="1"/>
    <col min="1793" max="1793" width="6.85546875" style="457" customWidth="1"/>
    <col min="1794" max="1794" width="12.5703125" style="457" customWidth="1"/>
    <col min="1795" max="1795" width="10.7109375" style="457" customWidth="1"/>
    <col min="1796" max="1796" width="10" style="457" bestFit="1" customWidth="1"/>
    <col min="1797" max="1797" width="10.5703125" style="457" customWidth="1"/>
    <col min="1798" max="1798" width="26.7109375" style="457" customWidth="1"/>
    <col min="1799" max="1799" width="8.42578125" style="457" customWidth="1"/>
    <col min="1800" max="1800" width="8.85546875" style="457" customWidth="1"/>
    <col min="1801" max="1801" width="8.140625" style="457" customWidth="1"/>
    <col min="1802" max="1802" width="12" style="457" customWidth="1"/>
    <col min="1803" max="2045" width="9.140625" style="457"/>
    <col min="2046" max="2046" width="6.5703125" style="457" customWidth="1"/>
    <col min="2047" max="2047" width="82.140625" style="457" customWidth="1"/>
    <col min="2048" max="2048" width="5.7109375" style="457" customWidth="1"/>
    <col min="2049" max="2049" width="6.85546875" style="457" customWidth="1"/>
    <col min="2050" max="2050" width="12.5703125" style="457" customWidth="1"/>
    <col min="2051" max="2051" width="10.7109375" style="457" customWidth="1"/>
    <col min="2052" max="2052" width="10" style="457" bestFit="1" customWidth="1"/>
    <col min="2053" max="2053" width="10.5703125" style="457" customWidth="1"/>
    <col min="2054" max="2054" width="26.7109375" style="457" customWidth="1"/>
    <col min="2055" max="2055" width="8.42578125" style="457" customWidth="1"/>
    <col min="2056" max="2056" width="8.85546875" style="457" customWidth="1"/>
    <col min="2057" max="2057" width="8.140625" style="457" customWidth="1"/>
    <col min="2058" max="2058" width="12" style="457" customWidth="1"/>
    <col min="2059" max="2301" width="9.140625" style="457"/>
    <col min="2302" max="2302" width="6.5703125" style="457" customWidth="1"/>
    <col min="2303" max="2303" width="82.140625" style="457" customWidth="1"/>
    <col min="2304" max="2304" width="5.7109375" style="457" customWidth="1"/>
    <col min="2305" max="2305" width="6.85546875" style="457" customWidth="1"/>
    <col min="2306" max="2306" width="12.5703125" style="457" customWidth="1"/>
    <col min="2307" max="2307" width="10.7109375" style="457" customWidth="1"/>
    <col min="2308" max="2308" width="10" style="457" bestFit="1" customWidth="1"/>
    <col min="2309" max="2309" width="10.5703125" style="457" customWidth="1"/>
    <col min="2310" max="2310" width="26.7109375" style="457" customWidth="1"/>
    <col min="2311" max="2311" width="8.42578125" style="457" customWidth="1"/>
    <col min="2312" max="2312" width="8.85546875" style="457" customWidth="1"/>
    <col min="2313" max="2313" width="8.140625" style="457" customWidth="1"/>
    <col min="2314" max="2314" width="12" style="457" customWidth="1"/>
    <col min="2315" max="2557" width="9.140625" style="457"/>
    <col min="2558" max="2558" width="6.5703125" style="457" customWidth="1"/>
    <col min="2559" max="2559" width="82.140625" style="457" customWidth="1"/>
    <col min="2560" max="2560" width="5.7109375" style="457" customWidth="1"/>
    <col min="2561" max="2561" width="6.85546875" style="457" customWidth="1"/>
    <col min="2562" max="2562" width="12.5703125" style="457" customWidth="1"/>
    <col min="2563" max="2563" width="10.7109375" style="457" customWidth="1"/>
    <col min="2564" max="2564" width="10" style="457" bestFit="1" customWidth="1"/>
    <col min="2565" max="2565" width="10.5703125" style="457" customWidth="1"/>
    <col min="2566" max="2566" width="26.7109375" style="457" customWidth="1"/>
    <col min="2567" max="2567" width="8.42578125" style="457" customWidth="1"/>
    <col min="2568" max="2568" width="8.85546875" style="457" customWidth="1"/>
    <col min="2569" max="2569" width="8.140625" style="457" customWidth="1"/>
    <col min="2570" max="2570" width="12" style="457" customWidth="1"/>
    <col min="2571" max="2813" width="9.140625" style="457"/>
    <col min="2814" max="2814" width="6.5703125" style="457" customWidth="1"/>
    <col min="2815" max="2815" width="82.140625" style="457" customWidth="1"/>
    <col min="2816" max="2816" width="5.7109375" style="457" customWidth="1"/>
    <col min="2817" max="2817" width="6.85546875" style="457" customWidth="1"/>
    <col min="2818" max="2818" width="12.5703125" style="457" customWidth="1"/>
    <col min="2819" max="2819" width="10.7109375" style="457" customWidth="1"/>
    <col min="2820" max="2820" width="10" style="457" bestFit="1" customWidth="1"/>
    <col min="2821" max="2821" width="10.5703125" style="457" customWidth="1"/>
    <col min="2822" max="2822" width="26.7109375" style="457" customWidth="1"/>
    <col min="2823" max="2823" width="8.42578125" style="457" customWidth="1"/>
    <col min="2824" max="2824" width="8.85546875" style="457" customWidth="1"/>
    <col min="2825" max="2825" width="8.140625" style="457" customWidth="1"/>
    <col min="2826" max="2826" width="12" style="457" customWidth="1"/>
    <col min="2827" max="3069" width="9.140625" style="457"/>
    <col min="3070" max="3070" width="6.5703125" style="457" customWidth="1"/>
    <col min="3071" max="3071" width="82.140625" style="457" customWidth="1"/>
    <col min="3072" max="3072" width="5.7109375" style="457" customWidth="1"/>
    <col min="3073" max="3073" width="6.85546875" style="457" customWidth="1"/>
    <col min="3074" max="3074" width="12.5703125" style="457" customWidth="1"/>
    <col min="3075" max="3075" width="10.7109375" style="457" customWidth="1"/>
    <col min="3076" max="3076" width="10" style="457" bestFit="1" customWidth="1"/>
    <col min="3077" max="3077" width="10.5703125" style="457" customWidth="1"/>
    <col min="3078" max="3078" width="26.7109375" style="457" customWidth="1"/>
    <col min="3079" max="3079" width="8.42578125" style="457" customWidth="1"/>
    <col min="3080" max="3080" width="8.85546875" style="457" customWidth="1"/>
    <col min="3081" max="3081" width="8.140625" style="457" customWidth="1"/>
    <col min="3082" max="3082" width="12" style="457" customWidth="1"/>
    <col min="3083" max="3325" width="9.140625" style="457"/>
    <col min="3326" max="3326" width="6.5703125" style="457" customWidth="1"/>
    <col min="3327" max="3327" width="82.140625" style="457" customWidth="1"/>
    <col min="3328" max="3328" width="5.7109375" style="457" customWidth="1"/>
    <col min="3329" max="3329" width="6.85546875" style="457" customWidth="1"/>
    <col min="3330" max="3330" width="12.5703125" style="457" customWidth="1"/>
    <col min="3331" max="3331" width="10.7109375" style="457" customWidth="1"/>
    <col min="3332" max="3332" width="10" style="457" bestFit="1" customWidth="1"/>
    <col min="3333" max="3333" width="10.5703125" style="457" customWidth="1"/>
    <col min="3334" max="3334" width="26.7109375" style="457" customWidth="1"/>
    <col min="3335" max="3335" width="8.42578125" style="457" customWidth="1"/>
    <col min="3336" max="3336" width="8.85546875" style="457" customWidth="1"/>
    <col min="3337" max="3337" width="8.140625" style="457" customWidth="1"/>
    <col min="3338" max="3338" width="12" style="457" customWidth="1"/>
    <col min="3339" max="3581" width="9.140625" style="457"/>
    <col min="3582" max="3582" width="6.5703125" style="457" customWidth="1"/>
    <col min="3583" max="3583" width="82.140625" style="457" customWidth="1"/>
    <col min="3584" max="3584" width="5.7109375" style="457" customWidth="1"/>
    <col min="3585" max="3585" width="6.85546875" style="457" customWidth="1"/>
    <col min="3586" max="3586" width="12.5703125" style="457" customWidth="1"/>
    <col min="3587" max="3587" width="10.7109375" style="457" customWidth="1"/>
    <col min="3588" max="3588" width="10" style="457" bestFit="1" customWidth="1"/>
    <col min="3589" max="3589" width="10.5703125" style="457" customWidth="1"/>
    <col min="3590" max="3590" width="26.7109375" style="457" customWidth="1"/>
    <col min="3591" max="3591" width="8.42578125" style="457" customWidth="1"/>
    <col min="3592" max="3592" width="8.85546875" style="457" customWidth="1"/>
    <col min="3593" max="3593" width="8.140625" style="457" customWidth="1"/>
    <col min="3594" max="3594" width="12" style="457" customWidth="1"/>
    <col min="3595" max="3837" width="9.140625" style="457"/>
    <col min="3838" max="3838" width="6.5703125" style="457" customWidth="1"/>
    <col min="3839" max="3839" width="82.140625" style="457" customWidth="1"/>
    <col min="3840" max="3840" width="5.7109375" style="457" customWidth="1"/>
    <col min="3841" max="3841" width="6.85546875" style="457" customWidth="1"/>
    <col min="3842" max="3842" width="12.5703125" style="457" customWidth="1"/>
    <col min="3843" max="3843" width="10.7109375" style="457" customWidth="1"/>
    <col min="3844" max="3844" width="10" style="457" bestFit="1" customWidth="1"/>
    <col min="3845" max="3845" width="10.5703125" style="457" customWidth="1"/>
    <col min="3846" max="3846" width="26.7109375" style="457" customWidth="1"/>
    <col min="3847" max="3847" width="8.42578125" style="457" customWidth="1"/>
    <col min="3848" max="3848" width="8.85546875" style="457" customWidth="1"/>
    <col min="3849" max="3849" width="8.140625" style="457" customWidth="1"/>
    <col min="3850" max="3850" width="12" style="457" customWidth="1"/>
    <col min="3851" max="4093" width="9.140625" style="457"/>
    <col min="4094" max="4094" width="6.5703125" style="457" customWidth="1"/>
    <col min="4095" max="4095" width="82.140625" style="457" customWidth="1"/>
    <col min="4096" max="4096" width="5.7109375" style="457" customWidth="1"/>
    <col min="4097" max="4097" width="6.85546875" style="457" customWidth="1"/>
    <col min="4098" max="4098" width="12.5703125" style="457" customWidth="1"/>
    <col min="4099" max="4099" width="10.7109375" style="457" customWidth="1"/>
    <col min="4100" max="4100" width="10" style="457" bestFit="1" customWidth="1"/>
    <col min="4101" max="4101" width="10.5703125" style="457" customWidth="1"/>
    <col min="4102" max="4102" width="26.7109375" style="457" customWidth="1"/>
    <col min="4103" max="4103" width="8.42578125" style="457" customWidth="1"/>
    <col min="4104" max="4104" width="8.85546875" style="457" customWidth="1"/>
    <col min="4105" max="4105" width="8.140625" style="457" customWidth="1"/>
    <col min="4106" max="4106" width="12" style="457" customWidth="1"/>
    <col min="4107" max="4349" width="9.140625" style="457"/>
    <col min="4350" max="4350" width="6.5703125" style="457" customWidth="1"/>
    <col min="4351" max="4351" width="82.140625" style="457" customWidth="1"/>
    <col min="4352" max="4352" width="5.7109375" style="457" customWidth="1"/>
    <col min="4353" max="4353" width="6.85546875" style="457" customWidth="1"/>
    <col min="4354" max="4354" width="12.5703125" style="457" customWidth="1"/>
    <col min="4355" max="4355" width="10.7109375" style="457" customWidth="1"/>
    <col min="4356" max="4356" width="10" style="457" bestFit="1" customWidth="1"/>
    <col min="4357" max="4357" width="10.5703125" style="457" customWidth="1"/>
    <col min="4358" max="4358" width="26.7109375" style="457" customWidth="1"/>
    <col min="4359" max="4359" width="8.42578125" style="457" customWidth="1"/>
    <col min="4360" max="4360" width="8.85546875" style="457" customWidth="1"/>
    <col min="4361" max="4361" width="8.140625" style="457" customWidth="1"/>
    <col min="4362" max="4362" width="12" style="457" customWidth="1"/>
    <col min="4363" max="4605" width="9.140625" style="457"/>
    <col min="4606" max="4606" width="6.5703125" style="457" customWidth="1"/>
    <col min="4607" max="4607" width="82.140625" style="457" customWidth="1"/>
    <col min="4608" max="4608" width="5.7109375" style="457" customWidth="1"/>
    <col min="4609" max="4609" width="6.85546875" style="457" customWidth="1"/>
    <col min="4610" max="4610" width="12.5703125" style="457" customWidth="1"/>
    <col min="4611" max="4611" width="10.7109375" style="457" customWidth="1"/>
    <col min="4612" max="4612" width="10" style="457" bestFit="1" customWidth="1"/>
    <col min="4613" max="4613" width="10.5703125" style="457" customWidth="1"/>
    <col min="4614" max="4614" width="26.7109375" style="457" customWidth="1"/>
    <col min="4615" max="4615" width="8.42578125" style="457" customWidth="1"/>
    <col min="4616" max="4616" width="8.85546875" style="457" customWidth="1"/>
    <col min="4617" max="4617" width="8.140625" style="457" customWidth="1"/>
    <col min="4618" max="4618" width="12" style="457" customWidth="1"/>
    <col min="4619" max="4861" width="9.140625" style="457"/>
    <col min="4862" max="4862" width="6.5703125" style="457" customWidth="1"/>
    <col min="4863" max="4863" width="82.140625" style="457" customWidth="1"/>
    <col min="4864" max="4864" width="5.7109375" style="457" customWidth="1"/>
    <col min="4865" max="4865" width="6.85546875" style="457" customWidth="1"/>
    <col min="4866" max="4866" width="12.5703125" style="457" customWidth="1"/>
    <col min="4867" max="4867" width="10.7109375" style="457" customWidth="1"/>
    <col min="4868" max="4868" width="10" style="457" bestFit="1" customWidth="1"/>
    <col min="4869" max="4869" width="10.5703125" style="457" customWidth="1"/>
    <col min="4870" max="4870" width="26.7109375" style="457" customWidth="1"/>
    <col min="4871" max="4871" width="8.42578125" style="457" customWidth="1"/>
    <col min="4872" max="4872" width="8.85546875" style="457" customWidth="1"/>
    <col min="4873" max="4873" width="8.140625" style="457" customWidth="1"/>
    <col min="4874" max="4874" width="12" style="457" customWidth="1"/>
    <col min="4875" max="5117" width="9.140625" style="457"/>
    <col min="5118" max="5118" width="6.5703125" style="457" customWidth="1"/>
    <col min="5119" max="5119" width="82.140625" style="457" customWidth="1"/>
    <col min="5120" max="5120" width="5.7109375" style="457" customWidth="1"/>
    <col min="5121" max="5121" width="6.85546875" style="457" customWidth="1"/>
    <col min="5122" max="5122" width="12.5703125" style="457" customWidth="1"/>
    <col min="5123" max="5123" width="10.7109375" style="457" customWidth="1"/>
    <col min="5124" max="5124" width="10" style="457" bestFit="1" customWidth="1"/>
    <col min="5125" max="5125" width="10.5703125" style="457" customWidth="1"/>
    <col min="5126" max="5126" width="26.7109375" style="457" customWidth="1"/>
    <col min="5127" max="5127" width="8.42578125" style="457" customWidth="1"/>
    <col min="5128" max="5128" width="8.85546875" style="457" customWidth="1"/>
    <col min="5129" max="5129" width="8.140625" style="457" customWidth="1"/>
    <col min="5130" max="5130" width="12" style="457" customWidth="1"/>
    <col min="5131" max="5373" width="9.140625" style="457"/>
    <col min="5374" max="5374" width="6.5703125" style="457" customWidth="1"/>
    <col min="5375" max="5375" width="82.140625" style="457" customWidth="1"/>
    <col min="5376" max="5376" width="5.7109375" style="457" customWidth="1"/>
    <col min="5377" max="5377" width="6.85546875" style="457" customWidth="1"/>
    <col min="5378" max="5378" width="12.5703125" style="457" customWidth="1"/>
    <col min="5379" max="5379" width="10.7109375" style="457" customWidth="1"/>
    <col min="5380" max="5380" width="10" style="457" bestFit="1" customWidth="1"/>
    <col min="5381" max="5381" width="10.5703125" style="457" customWidth="1"/>
    <col min="5382" max="5382" width="26.7109375" style="457" customWidth="1"/>
    <col min="5383" max="5383" width="8.42578125" style="457" customWidth="1"/>
    <col min="5384" max="5384" width="8.85546875" style="457" customWidth="1"/>
    <col min="5385" max="5385" width="8.140625" style="457" customWidth="1"/>
    <col min="5386" max="5386" width="12" style="457" customWidth="1"/>
    <col min="5387" max="5629" width="9.140625" style="457"/>
    <col min="5630" max="5630" width="6.5703125" style="457" customWidth="1"/>
    <col min="5631" max="5631" width="82.140625" style="457" customWidth="1"/>
    <col min="5632" max="5632" width="5.7109375" style="457" customWidth="1"/>
    <col min="5633" max="5633" width="6.85546875" style="457" customWidth="1"/>
    <col min="5634" max="5634" width="12.5703125" style="457" customWidth="1"/>
    <col min="5635" max="5635" width="10.7109375" style="457" customWidth="1"/>
    <col min="5636" max="5636" width="10" style="457" bestFit="1" customWidth="1"/>
    <col min="5637" max="5637" width="10.5703125" style="457" customWidth="1"/>
    <col min="5638" max="5638" width="26.7109375" style="457" customWidth="1"/>
    <col min="5639" max="5639" width="8.42578125" style="457" customWidth="1"/>
    <col min="5640" max="5640" width="8.85546875" style="457" customWidth="1"/>
    <col min="5641" max="5641" width="8.140625" style="457" customWidth="1"/>
    <col min="5642" max="5642" width="12" style="457" customWidth="1"/>
    <col min="5643" max="5885" width="9.140625" style="457"/>
    <col min="5886" max="5886" width="6.5703125" style="457" customWidth="1"/>
    <col min="5887" max="5887" width="82.140625" style="457" customWidth="1"/>
    <col min="5888" max="5888" width="5.7109375" style="457" customWidth="1"/>
    <col min="5889" max="5889" width="6.85546875" style="457" customWidth="1"/>
    <col min="5890" max="5890" width="12.5703125" style="457" customWidth="1"/>
    <col min="5891" max="5891" width="10.7109375" style="457" customWidth="1"/>
    <col min="5892" max="5892" width="10" style="457" bestFit="1" customWidth="1"/>
    <col min="5893" max="5893" width="10.5703125" style="457" customWidth="1"/>
    <col min="5894" max="5894" width="26.7109375" style="457" customWidth="1"/>
    <col min="5895" max="5895" width="8.42578125" style="457" customWidth="1"/>
    <col min="5896" max="5896" width="8.85546875" style="457" customWidth="1"/>
    <col min="5897" max="5897" width="8.140625" style="457" customWidth="1"/>
    <col min="5898" max="5898" width="12" style="457" customWidth="1"/>
    <col min="5899" max="6141" width="9.140625" style="457"/>
    <col min="6142" max="6142" width="6.5703125" style="457" customWidth="1"/>
    <col min="6143" max="6143" width="82.140625" style="457" customWidth="1"/>
    <col min="6144" max="6144" width="5.7109375" style="457" customWidth="1"/>
    <col min="6145" max="6145" width="6.85546875" style="457" customWidth="1"/>
    <col min="6146" max="6146" width="12.5703125" style="457" customWidth="1"/>
    <col min="6147" max="6147" width="10.7109375" style="457" customWidth="1"/>
    <col min="6148" max="6148" width="10" style="457" bestFit="1" customWidth="1"/>
    <col min="6149" max="6149" width="10.5703125" style="457" customWidth="1"/>
    <col min="6150" max="6150" width="26.7109375" style="457" customWidth="1"/>
    <col min="6151" max="6151" width="8.42578125" style="457" customWidth="1"/>
    <col min="6152" max="6152" width="8.85546875" style="457" customWidth="1"/>
    <col min="6153" max="6153" width="8.140625" style="457" customWidth="1"/>
    <col min="6154" max="6154" width="12" style="457" customWidth="1"/>
    <col min="6155" max="6397" width="9.140625" style="457"/>
    <col min="6398" max="6398" width="6.5703125" style="457" customWidth="1"/>
    <col min="6399" max="6399" width="82.140625" style="457" customWidth="1"/>
    <col min="6400" max="6400" width="5.7109375" style="457" customWidth="1"/>
    <col min="6401" max="6401" width="6.85546875" style="457" customWidth="1"/>
    <col min="6402" max="6402" width="12.5703125" style="457" customWidth="1"/>
    <col min="6403" max="6403" width="10.7109375" style="457" customWidth="1"/>
    <col min="6404" max="6404" width="10" style="457" bestFit="1" customWidth="1"/>
    <col min="6405" max="6405" width="10.5703125" style="457" customWidth="1"/>
    <col min="6406" max="6406" width="26.7109375" style="457" customWidth="1"/>
    <col min="6407" max="6407" width="8.42578125" style="457" customWidth="1"/>
    <col min="6408" max="6408" width="8.85546875" style="457" customWidth="1"/>
    <col min="6409" max="6409" width="8.140625" style="457" customWidth="1"/>
    <col min="6410" max="6410" width="12" style="457" customWidth="1"/>
    <col min="6411" max="6653" width="9.140625" style="457"/>
    <col min="6654" max="6654" width="6.5703125" style="457" customWidth="1"/>
    <col min="6655" max="6655" width="82.140625" style="457" customWidth="1"/>
    <col min="6656" max="6656" width="5.7109375" style="457" customWidth="1"/>
    <col min="6657" max="6657" width="6.85546875" style="457" customWidth="1"/>
    <col min="6658" max="6658" width="12.5703125" style="457" customWidth="1"/>
    <col min="6659" max="6659" width="10.7109375" style="457" customWidth="1"/>
    <col min="6660" max="6660" width="10" style="457" bestFit="1" customWidth="1"/>
    <col min="6661" max="6661" width="10.5703125" style="457" customWidth="1"/>
    <col min="6662" max="6662" width="26.7109375" style="457" customWidth="1"/>
    <col min="6663" max="6663" width="8.42578125" style="457" customWidth="1"/>
    <col min="6664" max="6664" width="8.85546875" style="457" customWidth="1"/>
    <col min="6665" max="6665" width="8.140625" style="457" customWidth="1"/>
    <col min="6666" max="6666" width="12" style="457" customWidth="1"/>
    <col min="6667" max="6909" width="9.140625" style="457"/>
    <col min="6910" max="6910" width="6.5703125" style="457" customWidth="1"/>
    <col min="6911" max="6911" width="82.140625" style="457" customWidth="1"/>
    <col min="6912" max="6912" width="5.7109375" style="457" customWidth="1"/>
    <col min="6913" max="6913" width="6.85546875" style="457" customWidth="1"/>
    <col min="6914" max="6914" width="12.5703125" style="457" customWidth="1"/>
    <col min="6915" max="6915" width="10.7109375" style="457" customWidth="1"/>
    <col min="6916" max="6916" width="10" style="457" bestFit="1" customWidth="1"/>
    <col min="6917" max="6917" width="10.5703125" style="457" customWidth="1"/>
    <col min="6918" max="6918" width="26.7109375" style="457" customWidth="1"/>
    <col min="6919" max="6919" width="8.42578125" style="457" customWidth="1"/>
    <col min="6920" max="6920" width="8.85546875" style="457" customWidth="1"/>
    <col min="6921" max="6921" width="8.140625" style="457" customWidth="1"/>
    <col min="6922" max="6922" width="12" style="457" customWidth="1"/>
    <col min="6923" max="7165" width="9.140625" style="457"/>
    <col min="7166" max="7166" width="6.5703125" style="457" customWidth="1"/>
    <col min="7167" max="7167" width="82.140625" style="457" customWidth="1"/>
    <col min="7168" max="7168" width="5.7109375" style="457" customWidth="1"/>
    <col min="7169" max="7169" width="6.85546875" style="457" customWidth="1"/>
    <col min="7170" max="7170" width="12.5703125" style="457" customWidth="1"/>
    <col min="7171" max="7171" width="10.7109375" style="457" customWidth="1"/>
    <col min="7172" max="7172" width="10" style="457" bestFit="1" customWidth="1"/>
    <col min="7173" max="7173" width="10.5703125" style="457" customWidth="1"/>
    <col min="7174" max="7174" width="26.7109375" style="457" customWidth="1"/>
    <col min="7175" max="7175" width="8.42578125" style="457" customWidth="1"/>
    <col min="7176" max="7176" width="8.85546875" style="457" customWidth="1"/>
    <col min="7177" max="7177" width="8.140625" style="457" customWidth="1"/>
    <col min="7178" max="7178" width="12" style="457" customWidth="1"/>
    <col min="7179" max="7421" width="9.140625" style="457"/>
    <col min="7422" max="7422" width="6.5703125" style="457" customWidth="1"/>
    <col min="7423" max="7423" width="82.140625" style="457" customWidth="1"/>
    <col min="7424" max="7424" width="5.7109375" style="457" customWidth="1"/>
    <col min="7425" max="7425" width="6.85546875" style="457" customWidth="1"/>
    <col min="7426" max="7426" width="12.5703125" style="457" customWidth="1"/>
    <col min="7427" max="7427" width="10.7109375" style="457" customWidth="1"/>
    <col min="7428" max="7428" width="10" style="457" bestFit="1" customWidth="1"/>
    <col min="7429" max="7429" width="10.5703125" style="457" customWidth="1"/>
    <col min="7430" max="7430" width="26.7109375" style="457" customWidth="1"/>
    <col min="7431" max="7431" width="8.42578125" style="457" customWidth="1"/>
    <col min="7432" max="7432" width="8.85546875" style="457" customWidth="1"/>
    <col min="7433" max="7433" width="8.140625" style="457" customWidth="1"/>
    <col min="7434" max="7434" width="12" style="457" customWidth="1"/>
    <col min="7435" max="7677" width="9.140625" style="457"/>
    <col min="7678" max="7678" width="6.5703125" style="457" customWidth="1"/>
    <col min="7679" max="7679" width="82.140625" style="457" customWidth="1"/>
    <col min="7680" max="7680" width="5.7109375" style="457" customWidth="1"/>
    <col min="7681" max="7681" width="6.85546875" style="457" customWidth="1"/>
    <col min="7682" max="7682" width="12.5703125" style="457" customWidth="1"/>
    <col min="7683" max="7683" width="10.7109375" style="457" customWidth="1"/>
    <col min="7684" max="7684" width="10" style="457" bestFit="1" customWidth="1"/>
    <col min="7685" max="7685" width="10.5703125" style="457" customWidth="1"/>
    <col min="7686" max="7686" width="26.7109375" style="457" customWidth="1"/>
    <col min="7687" max="7687" width="8.42578125" style="457" customWidth="1"/>
    <col min="7688" max="7688" width="8.85546875" style="457" customWidth="1"/>
    <col min="7689" max="7689" width="8.140625" style="457" customWidth="1"/>
    <col min="7690" max="7690" width="12" style="457" customWidth="1"/>
    <col min="7691" max="7933" width="9.140625" style="457"/>
    <col min="7934" max="7934" width="6.5703125" style="457" customWidth="1"/>
    <col min="7935" max="7935" width="82.140625" style="457" customWidth="1"/>
    <col min="7936" max="7936" width="5.7109375" style="457" customWidth="1"/>
    <col min="7937" max="7937" width="6.85546875" style="457" customWidth="1"/>
    <col min="7938" max="7938" width="12.5703125" style="457" customWidth="1"/>
    <col min="7939" max="7939" width="10.7109375" style="457" customWidth="1"/>
    <col min="7940" max="7940" width="10" style="457" bestFit="1" customWidth="1"/>
    <col min="7941" max="7941" width="10.5703125" style="457" customWidth="1"/>
    <col min="7942" max="7942" width="26.7109375" style="457" customWidth="1"/>
    <col min="7943" max="7943" width="8.42578125" style="457" customWidth="1"/>
    <col min="7944" max="7944" width="8.85546875" style="457" customWidth="1"/>
    <col min="7945" max="7945" width="8.140625" style="457" customWidth="1"/>
    <col min="7946" max="7946" width="12" style="457" customWidth="1"/>
    <col min="7947" max="8189" width="9.140625" style="457"/>
    <col min="8190" max="8190" width="6.5703125" style="457" customWidth="1"/>
    <col min="8191" max="8191" width="82.140625" style="457" customWidth="1"/>
    <col min="8192" max="8192" width="5.7109375" style="457" customWidth="1"/>
    <col min="8193" max="8193" width="6.85546875" style="457" customWidth="1"/>
    <col min="8194" max="8194" width="12.5703125" style="457" customWidth="1"/>
    <col min="8195" max="8195" width="10.7109375" style="457" customWidth="1"/>
    <col min="8196" max="8196" width="10" style="457" bestFit="1" customWidth="1"/>
    <col min="8197" max="8197" width="10.5703125" style="457" customWidth="1"/>
    <col min="8198" max="8198" width="26.7109375" style="457" customWidth="1"/>
    <col min="8199" max="8199" width="8.42578125" style="457" customWidth="1"/>
    <col min="8200" max="8200" width="8.85546875" style="457" customWidth="1"/>
    <col min="8201" max="8201" width="8.140625" style="457" customWidth="1"/>
    <col min="8202" max="8202" width="12" style="457" customWidth="1"/>
    <col min="8203" max="8445" width="9.140625" style="457"/>
    <col min="8446" max="8446" width="6.5703125" style="457" customWidth="1"/>
    <col min="8447" max="8447" width="82.140625" style="457" customWidth="1"/>
    <col min="8448" max="8448" width="5.7109375" style="457" customWidth="1"/>
    <col min="8449" max="8449" width="6.85546875" style="457" customWidth="1"/>
    <col min="8450" max="8450" width="12.5703125" style="457" customWidth="1"/>
    <col min="8451" max="8451" width="10.7109375" style="457" customWidth="1"/>
    <col min="8452" max="8452" width="10" style="457" bestFit="1" customWidth="1"/>
    <col min="8453" max="8453" width="10.5703125" style="457" customWidth="1"/>
    <col min="8454" max="8454" width="26.7109375" style="457" customWidth="1"/>
    <col min="8455" max="8455" width="8.42578125" style="457" customWidth="1"/>
    <col min="8456" max="8456" width="8.85546875" style="457" customWidth="1"/>
    <col min="8457" max="8457" width="8.140625" style="457" customWidth="1"/>
    <col min="8458" max="8458" width="12" style="457" customWidth="1"/>
    <col min="8459" max="8701" width="9.140625" style="457"/>
    <col min="8702" max="8702" width="6.5703125" style="457" customWidth="1"/>
    <col min="8703" max="8703" width="82.140625" style="457" customWidth="1"/>
    <col min="8704" max="8704" width="5.7109375" style="457" customWidth="1"/>
    <col min="8705" max="8705" width="6.85546875" style="457" customWidth="1"/>
    <col min="8706" max="8706" width="12.5703125" style="457" customWidth="1"/>
    <col min="8707" max="8707" width="10.7109375" style="457" customWidth="1"/>
    <col min="8708" max="8708" width="10" style="457" bestFit="1" customWidth="1"/>
    <col min="8709" max="8709" width="10.5703125" style="457" customWidth="1"/>
    <col min="8710" max="8710" width="26.7109375" style="457" customWidth="1"/>
    <col min="8711" max="8711" width="8.42578125" style="457" customWidth="1"/>
    <col min="8712" max="8712" width="8.85546875" style="457" customWidth="1"/>
    <col min="8713" max="8713" width="8.140625" style="457" customWidth="1"/>
    <col min="8714" max="8714" width="12" style="457" customWidth="1"/>
    <col min="8715" max="8957" width="9.140625" style="457"/>
    <col min="8958" max="8958" width="6.5703125" style="457" customWidth="1"/>
    <col min="8959" max="8959" width="82.140625" style="457" customWidth="1"/>
    <col min="8960" max="8960" width="5.7109375" style="457" customWidth="1"/>
    <col min="8961" max="8961" width="6.85546875" style="457" customWidth="1"/>
    <col min="8962" max="8962" width="12.5703125" style="457" customWidth="1"/>
    <col min="8963" max="8963" width="10.7109375" style="457" customWidth="1"/>
    <col min="8964" max="8964" width="10" style="457" bestFit="1" customWidth="1"/>
    <col min="8965" max="8965" width="10.5703125" style="457" customWidth="1"/>
    <col min="8966" max="8966" width="26.7109375" style="457" customWidth="1"/>
    <col min="8967" max="8967" width="8.42578125" style="457" customWidth="1"/>
    <col min="8968" max="8968" width="8.85546875" style="457" customWidth="1"/>
    <col min="8969" max="8969" width="8.140625" style="457" customWidth="1"/>
    <col min="8970" max="8970" width="12" style="457" customWidth="1"/>
    <col min="8971" max="9213" width="9.140625" style="457"/>
    <col min="9214" max="9214" width="6.5703125" style="457" customWidth="1"/>
    <col min="9215" max="9215" width="82.140625" style="457" customWidth="1"/>
    <col min="9216" max="9216" width="5.7109375" style="457" customWidth="1"/>
    <col min="9217" max="9217" width="6.85546875" style="457" customWidth="1"/>
    <col min="9218" max="9218" width="12.5703125" style="457" customWidth="1"/>
    <col min="9219" max="9219" width="10.7109375" style="457" customWidth="1"/>
    <col min="9220" max="9220" width="10" style="457" bestFit="1" customWidth="1"/>
    <col min="9221" max="9221" width="10.5703125" style="457" customWidth="1"/>
    <col min="9222" max="9222" width="26.7109375" style="457" customWidth="1"/>
    <col min="9223" max="9223" width="8.42578125" style="457" customWidth="1"/>
    <col min="9224" max="9224" width="8.85546875" style="457" customWidth="1"/>
    <col min="9225" max="9225" width="8.140625" style="457" customWidth="1"/>
    <col min="9226" max="9226" width="12" style="457" customWidth="1"/>
    <col min="9227" max="9469" width="9.140625" style="457"/>
    <col min="9470" max="9470" width="6.5703125" style="457" customWidth="1"/>
    <col min="9471" max="9471" width="82.140625" style="457" customWidth="1"/>
    <col min="9472" max="9472" width="5.7109375" style="457" customWidth="1"/>
    <col min="9473" max="9473" width="6.85546875" style="457" customWidth="1"/>
    <col min="9474" max="9474" width="12.5703125" style="457" customWidth="1"/>
    <col min="9475" max="9475" width="10.7109375" style="457" customWidth="1"/>
    <col min="9476" max="9476" width="10" style="457" bestFit="1" customWidth="1"/>
    <col min="9477" max="9477" width="10.5703125" style="457" customWidth="1"/>
    <col min="9478" max="9478" width="26.7109375" style="457" customWidth="1"/>
    <col min="9479" max="9479" width="8.42578125" style="457" customWidth="1"/>
    <col min="9480" max="9480" width="8.85546875" style="457" customWidth="1"/>
    <col min="9481" max="9481" width="8.140625" style="457" customWidth="1"/>
    <col min="9482" max="9482" width="12" style="457" customWidth="1"/>
    <col min="9483" max="9725" width="9.140625" style="457"/>
    <col min="9726" max="9726" width="6.5703125" style="457" customWidth="1"/>
    <col min="9727" max="9727" width="82.140625" style="457" customWidth="1"/>
    <col min="9728" max="9728" width="5.7109375" style="457" customWidth="1"/>
    <col min="9729" max="9729" width="6.85546875" style="457" customWidth="1"/>
    <col min="9730" max="9730" width="12.5703125" style="457" customWidth="1"/>
    <col min="9731" max="9731" width="10.7109375" style="457" customWidth="1"/>
    <col min="9732" max="9732" width="10" style="457" bestFit="1" customWidth="1"/>
    <col min="9733" max="9733" width="10.5703125" style="457" customWidth="1"/>
    <col min="9734" max="9734" width="26.7109375" style="457" customWidth="1"/>
    <col min="9735" max="9735" width="8.42578125" style="457" customWidth="1"/>
    <col min="9736" max="9736" width="8.85546875" style="457" customWidth="1"/>
    <col min="9737" max="9737" width="8.140625" style="457" customWidth="1"/>
    <col min="9738" max="9738" width="12" style="457" customWidth="1"/>
    <col min="9739" max="9981" width="9.140625" style="457"/>
    <col min="9982" max="9982" width="6.5703125" style="457" customWidth="1"/>
    <col min="9983" max="9983" width="82.140625" style="457" customWidth="1"/>
    <col min="9984" max="9984" width="5.7109375" style="457" customWidth="1"/>
    <col min="9985" max="9985" width="6.85546875" style="457" customWidth="1"/>
    <col min="9986" max="9986" width="12.5703125" style="457" customWidth="1"/>
    <col min="9987" max="9987" width="10.7109375" style="457" customWidth="1"/>
    <col min="9988" max="9988" width="10" style="457" bestFit="1" customWidth="1"/>
    <col min="9989" max="9989" width="10.5703125" style="457" customWidth="1"/>
    <col min="9990" max="9990" width="26.7109375" style="457" customWidth="1"/>
    <col min="9991" max="9991" width="8.42578125" style="457" customWidth="1"/>
    <col min="9992" max="9992" width="8.85546875" style="457" customWidth="1"/>
    <col min="9993" max="9993" width="8.140625" style="457" customWidth="1"/>
    <col min="9994" max="9994" width="12" style="457" customWidth="1"/>
    <col min="9995" max="10237" width="9.140625" style="457"/>
    <col min="10238" max="10238" width="6.5703125" style="457" customWidth="1"/>
    <col min="10239" max="10239" width="82.140625" style="457" customWidth="1"/>
    <col min="10240" max="10240" width="5.7109375" style="457" customWidth="1"/>
    <col min="10241" max="10241" width="6.85546875" style="457" customWidth="1"/>
    <col min="10242" max="10242" width="12.5703125" style="457" customWidth="1"/>
    <col min="10243" max="10243" width="10.7109375" style="457" customWidth="1"/>
    <col min="10244" max="10244" width="10" style="457" bestFit="1" customWidth="1"/>
    <col min="10245" max="10245" width="10.5703125" style="457" customWidth="1"/>
    <col min="10246" max="10246" width="26.7109375" style="457" customWidth="1"/>
    <col min="10247" max="10247" width="8.42578125" style="457" customWidth="1"/>
    <col min="10248" max="10248" width="8.85546875" style="457" customWidth="1"/>
    <col min="10249" max="10249" width="8.140625" style="457" customWidth="1"/>
    <col min="10250" max="10250" width="12" style="457" customWidth="1"/>
    <col min="10251" max="10493" width="9.140625" style="457"/>
    <col min="10494" max="10494" width="6.5703125" style="457" customWidth="1"/>
    <col min="10495" max="10495" width="82.140625" style="457" customWidth="1"/>
    <col min="10496" max="10496" width="5.7109375" style="457" customWidth="1"/>
    <col min="10497" max="10497" width="6.85546875" style="457" customWidth="1"/>
    <col min="10498" max="10498" width="12.5703125" style="457" customWidth="1"/>
    <col min="10499" max="10499" width="10.7109375" style="457" customWidth="1"/>
    <col min="10500" max="10500" width="10" style="457" bestFit="1" customWidth="1"/>
    <col min="10501" max="10501" width="10.5703125" style="457" customWidth="1"/>
    <col min="10502" max="10502" width="26.7109375" style="457" customWidth="1"/>
    <col min="10503" max="10503" width="8.42578125" style="457" customWidth="1"/>
    <col min="10504" max="10504" width="8.85546875" style="457" customWidth="1"/>
    <col min="10505" max="10505" width="8.140625" style="457" customWidth="1"/>
    <col min="10506" max="10506" width="12" style="457" customWidth="1"/>
    <col min="10507" max="10749" width="9.140625" style="457"/>
    <col min="10750" max="10750" width="6.5703125" style="457" customWidth="1"/>
    <col min="10751" max="10751" width="82.140625" style="457" customWidth="1"/>
    <col min="10752" max="10752" width="5.7109375" style="457" customWidth="1"/>
    <col min="10753" max="10753" width="6.85546875" style="457" customWidth="1"/>
    <col min="10754" max="10754" width="12.5703125" style="457" customWidth="1"/>
    <col min="10755" max="10755" width="10.7109375" style="457" customWidth="1"/>
    <col min="10756" max="10756" width="10" style="457" bestFit="1" customWidth="1"/>
    <col min="10757" max="10757" width="10.5703125" style="457" customWidth="1"/>
    <col min="10758" max="10758" width="26.7109375" style="457" customWidth="1"/>
    <col min="10759" max="10759" width="8.42578125" style="457" customWidth="1"/>
    <col min="10760" max="10760" width="8.85546875" style="457" customWidth="1"/>
    <col min="10761" max="10761" width="8.140625" style="457" customWidth="1"/>
    <col min="10762" max="10762" width="12" style="457" customWidth="1"/>
    <col min="10763" max="11005" width="9.140625" style="457"/>
    <col min="11006" max="11006" width="6.5703125" style="457" customWidth="1"/>
    <col min="11007" max="11007" width="82.140625" style="457" customWidth="1"/>
    <col min="11008" max="11008" width="5.7109375" style="457" customWidth="1"/>
    <col min="11009" max="11009" width="6.85546875" style="457" customWidth="1"/>
    <col min="11010" max="11010" width="12.5703125" style="457" customWidth="1"/>
    <col min="11011" max="11011" width="10.7109375" style="457" customWidth="1"/>
    <col min="11012" max="11012" width="10" style="457" bestFit="1" customWidth="1"/>
    <col min="11013" max="11013" width="10.5703125" style="457" customWidth="1"/>
    <col min="11014" max="11014" width="26.7109375" style="457" customWidth="1"/>
    <col min="11015" max="11015" width="8.42578125" style="457" customWidth="1"/>
    <col min="11016" max="11016" width="8.85546875" style="457" customWidth="1"/>
    <col min="11017" max="11017" width="8.140625" style="457" customWidth="1"/>
    <col min="11018" max="11018" width="12" style="457" customWidth="1"/>
    <col min="11019" max="11261" width="9.140625" style="457"/>
    <col min="11262" max="11262" width="6.5703125" style="457" customWidth="1"/>
    <col min="11263" max="11263" width="82.140625" style="457" customWidth="1"/>
    <col min="11264" max="11264" width="5.7109375" style="457" customWidth="1"/>
    <col min="11265" max="11265" width="6.85546875" style="457" customWidth="1"/>
    <col min="11266" max="11266" width="12.5703125" style="457" customWidth="1"/>
    <col min="11267" max="11267" width="10.7109375" style="457" customWidth="1"/>
    <col min="11268" max="11268" width="10" style="457" bestFit="1" customWidth="1"/>
    <col min="11269" max="11269" width="10.5703125" style="457" customWidth="1"/>
    <col min="11270" max="11270" width="26.7109375" style="457" customWidth="1"/>
    <col min="11271" max="11271" width="8.42578125" style="457" customWidth="1"/>
    <col min="11272" max="11272" width="8.85546875" style="457" customWidth="1"/>
    <col min="11273" max="11273" width="8.140625" style="457" customWidth="1"/>
    <col min="11274" max="11274" width="12" style="457" customWidth="1"/>
    <col min="11275" max="11517" width="9.140625" style="457"/>
    <col min="11518" max="11518" width="6.5703125" style="457" customWidth="1"/>
    <col min="11519" max="11519" width="82.140625" style="457" customWidth="1"/>
    <col min="11520" max="11520" width="5.7109375" style="457" customWidth="1"/>
    <col min="11521" max="11521" width="6.85546875" style="457" customWidth="1"/>
    <col min="11522" max="11522" width="12.5703125" style="457" customWidth="1"/>
    <col min="11523" max="11523" width="10.7109375" style="457" customWidth="1"/>
    <col min="11524" max="11524" width="10" style="457" bestFit="1" customWidth="1"/>
    <col min="11525" max="11525" width="10.5703125" style="457" customWidth="1"/>
    <col min="11526" max="11526" width="26.7109375" style="457" customWidth="1"/>
    <col min="11527" max="11527" width="8.42578125" style="457" customWidth="1"/>
    <col min="11528" max="11528" width="8.85546875" style="457" customWidth="1"/>
    <col min="11529" max="11529" width="8.140625" style="457" customWidth="1"/>
    <col min="11530" max="11530" width="12" style="457" customWidth="1"/>
    <col min="11531" max="11773" width="9.140625" style="457"/>
    <col min="11774" max="11774" width="6.5703125" style="457" customWidth="1"/>
    <col min="11775" max="11775" width="82.140625" style="457" customWidth="1"/>
    <col min="11776" max="11776" width="5.7109375" style="457" customWidth="1"/>
    <col min="11777" max="11777" width="6.85546875" style="457" customWidth="1"/>
    <col min="11778" max="11778" width="12.5703125" style="457" customWidth="1"/>
    <col min="11779" max="11779" width="10.7109375" style="457" customWidth="1"/>
    <col min="11780" max="11780" width="10" style="457" bestFit="1" customWidth="1"/>
    <col min="11781" max="11781" width="10.5703125" style="457" customWidth="1"/>
    <col min="11782" max="11782" width="26.7109375" style="457" customWidth="1"/>
    <col min="11783" max="11783" width="8.42578125" style="457" customWidth="1"/>
    <col min="11784" max="11784" width="8.85546875" style="457" customWidth="1"/>
    <col min="11785" max="11785" width="8.140625" style="457" customWidth="1"/>
    <col min="11786" max="11786" width="12" style="457" customWidth="1"/>
    <col min="11787" max="12029" width="9.140625" style="457"/>
    <col min="12030" max="12030" width="6.5703125" style="457" customWidth="1"/>
    <col min="12031" max="12031" width="82.140625" style="457" customWidth="1"/>
    <col min="12032" max="12032" width="5.7109375" style="457" customWidth="1"/>
    <col min="12033" max="12033" width="6.85546875" style="457" customWidth="1"/>
    <col min="12034" max="12034" width="12.5703125" style="457" customWidth="1"/>
    <col min="12035" max="12035" width="10.7109375" style="457" customWidth="1"/>
    <col min="12036" max="12036" width="10" style="457" bestFit="1" customWidth="1"/>
    <col min="12037" max="12037" width="10.5703125" style="457" customWidth="1"/>
    <col min="12038" max="12038" width="26.7109375" style="457" customWidth="1"/>
    <col min="12039" max="12039" width="8.42578125" style="457" customWidth="1"/>
    <col min="12040" max="12040" width="8.85546875" style="457" customWidth="1"/>
    <col min="12041" max="12041" width="8.140625" style="457" customWidth="1"/>
    <col min="12042" max="12042" width="12" style="457" customWidth="1"/>
    <col min="12043" max="12285" width="9.140625" style="457"/>
    <col min="12286" max="12286" width="6.5703125" style="457" customWidth="1"/>
    <col min="12287" max="12287" width="82.140625" style="457" customWidth="1"/>
    <col min="12288" max="12288" width="5.7109375" style="457" customWidth="1"/>
    <col min="12289" max="12289" width="6.85546875" style="457" customWidth="1"/>
    <col min="12290" max="12290" width="12.5703125" style="457" customWidth="1"/>
    <col min="12291" max="12291" width="10.7109375" style="457" customWidth="1"/>
    <col min="12292" max="12292" width="10" style="457" bestFit="1" customWidth="1"/>
    <col min="12293" max="12293" width="10.5703125" style="457" customWidth="1"/>
    <col min="12294" max="12294" width="26.7109375" style="457" customWidth="1"/>
    <col min="12295" max="12295" width="8.42578125" style="457" customWidth="1"/>
    <col min="12296" max="12296" width="8.85546875" style="457" customWidth="1"/>
    <col min="12297" max="12297" width="8.140625" style="457" customWidth="1"/>
    <col min="12298" max="12298" width="12" style="457" customWidth="1"/>
    <col min="12299" max="12541" width="9.140625" style="457"/>
    <col min="12542" max="12542" width="6.5703125" style="457" customWidth="1"/>
    <col min="12543" max="12543" width="82.140625" style="457" customWidth="1"/>
    <col min="12544" max="12544" width="5.7109375" style="457" customWidth="1"/>
    <col min="12545" max="12545" width="6.85546875" style="457" customWidth="1"/>
    <col min="12546" max="12546" width="12.5703125" style="457" customWidth="1"/>
    <col min="12547" max="12547" width="10.7109375" style="457" customWidth="1"/>
    <col min="12548" max="12548" width="10" style="457" bestFit="1" customWidth="1"/>
    <col min="12549" max="12549" width="10.5703125" style="457" customWidth="1"/>
    <col min="12550" max="12550" width="26.7109375" style="457" customWidth="1"/>
    <col min="12551" max="12551" width="8.42578125" style="457" customWidth="1"/>
    <col min="12552" max="12552" width="8.85546875" style="457" customWidth="1"/>
    <col min="12553" max="12553" width="8.140625" style="457" customWidth="1"/>
    <col min="12554" max="12554" width="12" style="457" customWidth="1"/>
    <col min="12555" max="12797" width="9.140625" style="457"/>
    <col min="12798" max="12798" width="6.5703125" style="457" customWidth="1"/>
    <col min="12799" max="12799" width="82.140625" style="457" customWidth="1"/>
    <col min="12800" max="12800" width="5.7109375" style="457" customWidth="1"/>
    <col min="12801" max="12801" width="6.85546875" style="457" customWidth="1"/>
    <col min="12802" max="12802" width="12.5703125" style="457" customWidth="1"/>
    <col min="12803" max="12803" width="10.7109375" style="457" customWidth="1"/>
    <col min="12804" max="12804" width="10" style="457" bestFit="1" customWidth="1"/>
    <col min="12805" max="12805" width="10.5703125" style="457" customWidth="1"/>
    <col min="12806" max="12806" width="26.7109375" style="457" customWidth="1"/>
    <col min="12807" max="12807" width="8.42578125" style="457" customWidth="1"/>
    <col min="12808" max="12808" width="8.85546875" style="457" customWidth="1"/>
    <col min="12809" max="12809" width="8.140625" style="457" customWidth="1"/>
    <col min="12810" max="12810" width="12" style="457" customWidth="1"/>
    <col min="12811" max="13053" width="9.140625" style="457"/>
    <col min="13054" max="13054" width="6.5703125" style="457" customWidth="1"/>
    <col min="13055" max="13055" width="82.140625" style="457" customWidth="1"/>
    <col min="13056" max="13056" width="5.7109375" style="457" customWidth="1"/>
    <col min="13057" max="13057" width="6.85546875" style="457" customWidth="1"/>
    <col min="13058" max="13058" width="12.5703125" style="457" customWidth="1"/>
    <col min="13059" max="13059" width="10.7109375" style="457" customWidth="1"/>
    <col min="13060" max="13060" width="10" style="457" bestFit="1" customWidth="1"/>
    <col min="13061" max="13061" width="10.5703125" style="457" customWidth="1"/>
    <col min="13062" max="13062" width="26.7109375" style="457" customWidth="1"/>
    <col min="13063" max="13063" width="8.42578125" style="457" customWidth="1"/>
    <col min="13064" max="13064" width="8.85546875" style="457" customWidth="1"/>
    <col min="13065" max="13065" width="8.140625" style="457" customWidth="1"/>
    <col min="13066" max="13066" width="12" style="457" customWidth="1"/>
    <col min="13067" max="13309" width="9.140625" style="457"/>
    <col min="13310" max="13310" width="6.5703125" style="457" customWidth="1"/>
    <col min="13311" max="13311" width="82.140625" style="457" customWidth="1"/>
    <col min="13312" max="13312" width="5.7109375" style="457" customWidth="1"/>
    <col min="13313" max="13313" width="6.85546875" style="457" customWidth="1"/>
    <col min="13314" max="13314" width="12.5703125" style="457" customWidth="1"/>
    <col min="13315" max="13315" width="10.7109375" style="457" customWidth="1"/>
    <col min="13316" max="13316" width="10" style="457" bestFit="1" customWidth="1"/>
    <col min="13317" max="13317" width="10.5703125" style="457" customWidth="1"/>
    <col min="13318" max="13318" width="26.7109375" style="457" customWidth="1"/>
    <col min="13319" max="13319" width="8.42578125" style="457" customWidth="1"/>
    <col min="13320" max="13320" width="8.85546875" style="457" customWidth="1"/>
    <col min="13321" max="13321" width="8.140625" style="457" customWidth="1"/>
    <col min="13322" max="13322" width="12" style="457" customWidth="1"/>
    <col min="13323" max="13565" width="9.140625" style="457"/>
    <col min="13566" max="13566" width="6.5703125" style="457" customWidth="1"/>
    <col min="13567" max="13567" width="82.140625" style="457" customWidth="1"/>
    <col min="13568" max="13568" width="5.7109375" style="457" customWidth="1"/>
    <col min="13569" max="13569" width="6.85546875" style="457" customWidth="1"/>
    <col min="13570" max="13570" width="12.5703125" style="457" customWidth="1"/>
    <col min="13571" max="13571" width="10.7109375" style="457" customWidth="1"/>
    <col min="13572" max="13572" width="10" style="457" bestFit="1" customWidth="1"/>
    <col min="13573" max="13573" width="10.5703125" style="457" customWidth="1"/>
    <col min="13574" max="13574" width="26.7109375" style="457" customWidth="1"/>
    <col min="13575" max="13575" width="8.42578125" style="457" customWidth="1"/>
    <col min="13576" max="13576" width="8.85546875" style="457" customWidth="1"/>
    <col min="13577" max="13577" width="8.140625" style="457" customWidth="1"/>
    <col min="13578" max="13578" width="12" style="457" customWidth="1"/>
    <col min="13579" max="13821" width="9.140625" style="457"/>
    <col min="13822" max="13822" width="6.5703125" style="457" customWidth="1"/>
    <col min="13823" max="13823" width="82.140625" style="457" customWidth="1"/>
    <col min="13824" max="13824" width="5.7109375" style="457" customWidth="1"/>
    <col min="13825" max="13825" width="6.85546875" style="457" customWidth="1"/>
    <col min="13826" max="13826" width="12.5703125" style="457" customWidth="1"/>
    <col min="13827" max="13827" width="10.7109375" style="457" customWidth="1"/>
    <col min="13828" max="13828" width="10" style="457" bestFit="1" customWidth="1"/>
    <col min="13829" max="13829" width="10.5703125" style="457" customWidth="1"/>
    <col min="13830" max="13830" width="26.7109375" style="457" customWidth="1"/>
    <col min="13831" max="13831" width="8.42578125" style="457" customWidth="1"/>
    <col min="13832" max="13832" width="8.85546875" style="457" customWidth="1"/>
    <col min="13833" max="13833" width="8.140625" style="457" customWidth="1"/>
    <col min="13834" max="13834" width="12" style="457" customWidth="1"/>
    <col min="13835" max="14077" width="9.140625" style="457"/>
    <col min="14078" max="14078" width="6.5703125" style="457" customWidth="1"/>
    <col min="14079" max="14079" width="82.140625" style="457" customWidth="1"/>
    <col min="14080" max="14080" width="5.7109375" style="457" customWidth="1"/>
    <col min="14081" max="14081" width="6.85546875" style="457" customWidth="1"/>
    <col min="14082" max="14082" width="12.5703125" style="457" customWidth="1"/>
    <col min="14083" max="14083" width="10.7109375" style="457" customWidth="1"/>
    <col min="14084" max="14084" width="10" style="457" bestFit="1" customWidth="1"/>
    <col min="14085" max="14085" width="10.5703125" style="457" customWidth="1"/>
    <col min="14086" max="14086" width="26.7109375" style="457" customWidth="1"/>
    <col min="14087" max="14087" width="8.42578125" style="457" customWidth="1"/>
    <col min="14088" max="14088" width="8.85546875" style="457" customWidth="1"/>
    <col min="14089" max="14089" width="8.140625" style="457" customWidth="1"/>
    <col min="14090" max="14090" width="12" style="457" customWidth="1"/>
    <col min="14091" max="14333" width="9.140625" style="457"/>
    <col min="14334" max="14334" width="6.5703125" style="457" customWidth="1"/>
    <col min="14335" max="14335" width="82.140625" style="457" customWidth="1"/>
    <col min="14336" max="14336" width="5.7109375" style="457" customWidth="1"/>
    <col min="14337" max="14337" width="6.85546875" style="457" customWidth="1"/>
    <col min="14338" max="14338" width="12.5703125" style="457" customWidth="1"/>
    <col min="14339" max="14339" width="10.7109375" style="457" customWidth="1"/>
    <col min="14340" max="14340" width="10" style="457" bestFit="1" customWidth="1"/>
    <col min="14341" max="14341" width="10.5703125" style="457" customWidth="1"/>
    <col min="14342" max="14342" width="26.7109375" style="457" customWidth="1"/>
    <col min="14343" max="14343" width="8.42578125" style="457" customWidth="1"/>
    <col min="14344" max="14344" width="8.85546875" style="457" customWidth="1"/>
    <col min="14345" max="14345" width="8.140625" style="457" customWidth="1"/>
    <col min="14346" max="14346" width="12" style="457" customWidth="1"/>
    <col min="14347" max="14589" width="9.140625" style="457"/>
    <col min="14590" max="14590" width="6.5703125" style="457" customWidth="1"/>
    <col min="14591" max="14591" width="82.140625" style="457" customWidth="1"/>
    <col min="14592" max="14592" width="5.7109375" style="457" customWidth="1"/>
    <col min="14593" max="14593" width="6.85546875" style="457" customWidth="1"/>
    <col min="14594" max="14594" width="12.5703125" style="457" customWidth="1"/>
    <col min="14595" max="14595" width="10.7109375" style="457" customWidth="1"/>
    <col min="14596" max="14596" width="10" style="457" bestFit="1" customWidth="1"/>
    <col min="14597" max="14597" width="10.5703125" style="457" customWidth="1"/>
    <col min="14598" max="14598" width="26.7109375" style="457" customWidth="1"/>
    <col min="14599" max="14599" width="8.42578125" style="457" customWidth="1"/>
    <col min="14600" max="14600" width="8.85546875" style="457" customWidth="1"/>
    <col min="14601" max="14601" width="8.140625" style="457" customWidth="1"/>
    <col min="14602" max="14602" width="12" style="457" customWidth="1"/>
    <col min="14603" max="14845" width="9.140625" style="457"/>
    <col min="14846" max="14846" width="6.5703125" style="457" customWidth="1"/>
    <col min="14847" max="14847" width="82.140625" style="457" customWidth="1"/>
    <col min="14848" max="14848" width="5.7109375" style="457" customWidth="1"/>
    <col min="14849" max="14849" width="6.85546875" style="457" customWidth="1"/>
    <col min="14850" max="14850" width="12.5703125" style="457" customWidth="1"/>
    <col min="14851" max="14851" width="10.7109375" style="457" customWidth="1"/>
    <col min="14852" max="14852" width="10" style="457" bestFit="1" customWidth="1"/>
    <col min="14853" max="14853" width="10.5703125" style="457" customWidth="1"/>
    <col min="14854" max="14854" width="26.7109375" style="457" customWidth="1"/>
    <col min="14855" max="14855" width="8.42578125" style="457" customWidth="1"/>
    <col min="14856" max="14856" width="8.85546875" style="457" customWidth="1"/>
    <col min="14857" max="14857" width="8.140625" style="457" customWidth="1"/>
    <col min="14858" max="14858" width="12" style="457" customWidth="1"/>
    <col min="14859" max="15101" width="9.140625" style="457"/>
    <col min="15102" max="15102" width="6.5703125" style="457" customWidth="1"/>
    <col min="15103" max="15103" width="82.140625" style="457" customWidth="1"/>
    <col min="15104" max="15104" width="5.7109375" style="457" customWidth="1"/>
    <col min="15105" max="15105" width="6.85546875" style="457" customWidth="1"/>
    <col min="15106" max="15106" width="12.5703125" style="457" customWidth="1"/>
    <col min="15107" max="15107" width="10.7109375" style="457" customWidth="1"/>
    <col min="15108" max="15108" width="10" style="457" bestFit="1" customWidth="1"/>
    <col min="15109" max="15109" width="10.5703125" style="457" customWidth="1"/>
    <col min="15110" max="15110" width="26.7109375" style="457" customWidth="1"/>
    <col min="15111" max="15111" width="8.42578125" style="457" customWidth="1"/>
    <col min="15112" max="15112" width="8.85546875" style="457" customWidth="1"/>
    <col min="15113" max="15113" width="8.140625" style="457" customWidth="1"/>
    <col min="15114" max="15114" width="12" style="457" customWidth="1"/>
    <col min="15115" max="15357" width="9.140625" style="457"/>
    <col min="15358" max="15358" width="6.5703125" style="457" customWidth="1"/>
    <col min="15359" max="15359" width="82.140625" style="457" customWidth="1"/>
    <col min="15360" max="15360" width="5.7109375" style="457" customWidth="1"/>
    <col min="15361" max="15361" width="6.85546875" style="457" customWidth="1"/>
    <col min="15362" max="15362" width="12.5703125" style="457" customWidth="1"/>
    <col min="15363" max="15363" width="10.7109375" style="457" customWidth="1"/>
    <col min="15364" max="15364" width="10" style="457" bestFit="1" customWidth="1"/>
    <col min="15365" max="15365" width="10.5703125" style="457" customWidth="1"/>
    <col min="15366" max="15366" width="26.7109375" style="457" customWidth="1"/>
    <col min="15367" max="15367" width="8.42578125" style="457" customWidth="1"/>
    <col min="15368" max="15368" width="8.85546875" style="457" customWidth="1"/>
    <col min="15369" max="15369" width="8.140625" style="457" customWidth="1"/>
    <col min="15370" max="15370" width="12" style="457" customWidth="1"/>
    <col min="15371" max="15613" width="9.140625" style="457"/>
    <col min="15614" max="15614" width="6.5703125" style="457" customWidth="1"/>
    <col min="15615" max="15615" width="82.140625" style="457" customWidth="1"/>
    <col min="15616" max="15616" width="5.7109375" style="457" customWidth="1"/>
    <col min="15617" max="15617" width="6.85546875" style="457" customWidth="1"/>
    <col min="15618" max="15618" width="12.5703125" style="457" customWidth="1"/>
    <col min="15619" max="15619" width="10.7109375" style="457" customWidth="1"/>
    <col min="15620" max="15620" width="10" style="457" bestFit="1" customWidth="1"/>
    <col min="15621" max="15621" width="10.5703125" style="457" customWidth="1"/>
    <col min="15622" max="15622" width="26.7109375" style="457" customWidth="1"/>
    <col min="15623" max="15623" width="8.42578125" style="457" customWidth="1"/>
    <col min="15624" max="15624" width="8.85546875" style="457" customWidth="1"/>
    <col min="15625" max="15625" width="8.140625" style="457" customWidth="1"/>
    <col min="15626" max="15626" width="12" style="457" customWidth="1"/>
    <col min="15627" max="15869" width="9.140625" style="457"/>
    <col min="15870" max="15870" width="6.5703125" style="457" customWidth="1"/>
    <col min="15871" max="15871" width="82.140625" style="457" customWidth="1"/>
    <col min="15872" max="15872" width="5.7109375" style="457" customWidth="1"/>
    <col min="15873" max="15873" width="6.85546875" style="457" customWidth="1"/>
    <col min="15874" max="15874" width="12.5703125" style="457" customWidth="1"/>
    <col min="15875" max="15875" width="10.7109375" style="457" customWidth="1"/>
    <col min="15876" max="15876" width="10" style="457" bestFit="1" customWidth="1"/>
    <col min="15877" max="15877" width="10.5703125" style="457" customWidth="1"/>
    <col min="15878" max="15878" width="26.7109375" style="457" customWidth="1"/>
    <col min="15879" max="15879" width="8.42578125" style="457" customWidth="1"/>
    <col min="15880" max="15880" width="8.85546875" style="457" customWidth="1"/>
    <col min="15881" max="15881" width="8.140625" style="457" customWidth="1"/>
    <col min="15882" max="15882" width="12" style="457" customWidth="1"/>
    <col min="15883" max="16125" width="9.140625" style="457"/>
    <col min="16126" max="16126" width="6.5703125" style="457" customWidth="1"/>
    <col min="16127" max="16127" width="82.140625" style="457" customWidth="1"/>
    <col min="16128" max="16128" width="5.7109375" style="457" customWidth="1"/>
    <col min="16129" max="16129" width="6.85546875" style="457" customWidth="1"/>
    <col min="16130" max="16130" width="12.5703125" style="457" customWidth="1"/>
    <col min="16131" max="16131" width="10.7109375" style="457" customWidth="1"/>
    <col min="16132" max="16132" width="10" style="457" bestFit="1" customWidth="1"/>
    <col min="16133" max="16133" width="10.5703125" style="457" customWidth="1"/>
    <col min="16134" max="16134" width="26.7109375" style="457" customWidth="1"/>
    <col min="16135" max="16135" width="8.42578125" style="457" customWidth="1"/>
    <col min="16136" max="16136" width="8.85546875" style="457" customWidth="1"/>
    <col min="16137" max="16137" width="8.140625" style="457" customWidth="1"/>
    <col min="16138" max="16138" width="12" style="457" customWidth="1"/>
    <col min="16139" max="16384" width="9.140625" style="457"/>
  </cols>
  <sheetData>
    <row r="1" spans="1:12">
      <c r="B1" s="257"/>
      <c r="K1" s="628" t="s">
        <v>1489</v>
      </c>
    </row>
    <row r="2" spans="1:12">
      <c r="K2" s="628" t="s">
        <v>49</v>
      </c>
    </row>
    <row r="3" spans="1:12">
      <c r="B3" s="901" t="s">
        <v>816</v>
      </c>
      <c r="C3" s="901"/>
      <c r="D3" s="901"/>
      <c r="E3" s="901"/>
      <c r="F3" s="901"/>
      <c r="G3" s="901"/>
      <c r="H3" s="901"/>
      <c r="I3" s="901"/>
      <c r="J3" s="901"/>
    </row>
    <row r="4" spans="1:12">
      <c r="B4" s="901"/>
      <c r="C4" s="901"/>
      <c r="D4" s="901"/>
      <c r="E4" s="901"/>
      <c r="F4" s="901"/>
      <c r="G4" s="901"/>
      <c r="H4" s="901"/>
      <c r="I4" s="901"/>
      <c r="J4" s="901"/>
    </row>
    <row r="5" spans="1:12" ht="18.75" customHeight="1"/>
    <row r="6" spans="1:12" s="259" customFormat="1">
      <c r="A6" s="902" t="s">
        <v>16</v>
      </c>
      <c r="B6" s="903" t="s">
        <v>481</v>
      </c>
      <c r="C6" s="905" t="s">
        <v>0</v>
      </c>
      <c r="D6" s="906"/>
      <c r="E6" s="907"/>
      <c r="F6" s="902" t="s">
        <v>690</v>
      </c>
      <c r="G6" s="902"/>
      <c r="H6" s="902"/>
      <c r="I6" s="908" t="s">
        <v>1</v>
      </c>
      <c r="J6" s="902" t="s">
        <v>2</v>
      </c>
      <c r="K6" s="902"/>
      <c r="L6" s="902"/>
    </row>
    <row r="7" spans="1:12" s="259" customFormat="1" ht="25.5">
      <c r="A7" s="902"/>
      <c r="B7" s="904"/>
      <c r="C7" s="260" t="s">
        <v>3</v>
      </c>
      <c r="D7" s="260" t="s">
        <v>4</v>
      </c>
      <c r="E7" s="261" t="s">
        <v>242</v>
      </c>
      <c r="F7" s="458" t="s">
        <v>817</v>
      </c>
      <c r="G7" s="458" t="s">
        <v>818</v>
      </c>
      <c r="H7" s="458" t="s">
        <v>819</v>
      </c>
      <c r="I7" s="909"/>
      <c r="J7" s="262" t="s">
        <v>219</v>
      </c>
      <c r="K7" s="262" t="s">
        <v>373</v>
      </c>
      <c r="L7" s="262" t="s">
        <v>414</v>
      </c>
    </row>
    <row r="8" spans="1:12" s="171" customFormat="1" ht="15" customHeight="1">
      <c r="A8" s="460">
        <v>1</v>
      </c>
      <c r="B8" s="260">
        <v>2</v>
      </c>
      <c r="C8" s="260">
        <v>3</v>
      </c>
      <c r="D8" s="260">
        <v>4</v>
      </c>
      <c r="E8" s="260">
        <v>5</v>
      </c>
      <c r="F8" s="260">
        <v>6</v>
      </c>
      <c r="G8" s="260">
        <v>7</v>
      </c>
      <c r="H8" s="260">
        <v>8</v>
      </c>
      <c r="I8" s="444">
        <v>9</v>
      </c>
      <c r="J8" s="260">
        <v>10</v>
      </c>
      <c r="K8" s="260">
        <v>11</v>
      </c>
      <c r="L8" s="260">
        <v>12</v>
      </c>
    </row>
    <row r="9" spans="1:12" s="259" customFormat="1" ht="15" customHeight="1">
      <c r="A9" s="459"/>
      <c r="B9" s="263" t="s">
        <v>820</v>
      </c>
      <c r="C9" s="264"/>
      <c r="D9" s="265"/>
      <c r="E9" s="56" t="s">
        <v>1167</v>
      </c>
      <c r="F9" s="432">
        <v>59492</v>
      </c>
      <c r="G9" s="432">
        <f t="shared" ref="G9:H9" si="0">G10+G17+G28+G42+G58+G72</f>
        <v>54747.899999999994</v>
      </c>
      <c r="H9" s="432">
        <f t="shared" si="0"/>
        <v>56697.1</v>
      </c>
      <c r="I9" s="445"/>
      <c r="J9" s="266"/>
      <c r="K9" s="266"/>
      <c r="L9" s="260"/>
    </row>
    <row r="10" spans="1:12" s="271" customFormat="1">
      <c r="A10" s="267">
        <v>1</v>
      </c>
      <c r="B10" s="268" t="s">
        <v>821</v>
      </c>
      <c r="C10" s="264"/>
      <c r="D10" s="269"/>
      <c r="E10" s="56" t="s">
        <v>942</v>
      </c>
      <c r="F10" s="432">
        <f>F11</f>
        <v>1876.5</v>
      </c>
      <c r="G10" s="432">
        <f>G11</f>
        <v>1769.6</v>
      </c>
      <c r="H10" s="432">
        <f>H11</f>
        <v>1695.1</v>
      </c>
      <c r="I10" s="446"/>
      <c r="J10" s="270"/>
      <c r="K10" s="270"/>
      <c r="L10" s="270"/>
    </row>
    <row r="11" spans="1:12" ht="25.5">
      <c r="A11" s="272" t="s">
        <v>191</v>
      </c>
      <c r="B11" s="273" t="s">
        <v>822</v>
      </c>
      <c r="C11" s="260">
        <v>927</v>
      </c>
      <c r="D11" s="274" t="s">
        <v>823</v>
      </c>
      <c r="E11" s="459" t="s">
        <v>1168</v>
      </c>
      <c r="F11" s="433">
        <f>SUM(F12:F16)</f>
        <v>1876.5</v>
      </c>
      <c r="G11" s="307">
        <f>G12+G13+G14+G15+G16</f>
        <v>1769.6</v>
      </c>
      <c r="H11" s="307">
        <f>H12+H13+H14+H15+H16</f>
        <v>1695.1</v>
      </c>
      <c r="I11" s="447"/>
      <c r="J11" s="275"/>
      <c r="K11" s="275"/>
      <c r="L11" s="275"/>
    </row>
    <row r="12" spans="1:12" ht="25.5">
      <c r="A12" s="272" t="s">
        <v>186</v>
      </c>
      <c r="B12" s="273" t="s">
        <v>824</v>
      </c>
      <c r="C12" s="260">
        <v>927</v>
      </c>
      <c r="D12" s="274" t="s">
        <v>823</v>
      </c>
      <c r="E12" s="459" t="s">
        <v>1169</v>
      </c>
      <c r="F12" s="433">
        <v>777.8</v>
      </c>
      <c r="G12" s="307">
        <v>725.8</v>
      </c>
      <c r="H12" s="307">
        <v>695.3</v>
      </c>
      <c r="I12" s="447"/>
      <c r="J12" s="275"/>
      <c r="K12" s="275"/>
      <c r="L12" s="275"/>
    </row>
    <row r="13" spans="1:12" ht="42.75" customHeight="1">
      <c r="A13" s="272" t="s">
        <v>192</v>
      </c>
      <c r="B13" s="247" t="s">
        <v>826</v>
      </c>
      <c r="C13" s="260">
        <v>927</v>
      </c>
      <c r="D13" s="274" t="s">
        <v>823</v>
      </c>
      <c r="E13" s="459" t="s">
        <v>1170</v>
      </c>
      <c r="F13" s="433">
        <v>656.8</v>
      </c>
      <c r="G13" s="307">
        <v>624</v>
      </c>
      <c r="H13" s="307">
        <v>597.70000000000005</v>
      </c>
      <c r="I13" s="447" t="s">
        <v>827</v>
      </c>
      <c r="J13" s="275">
        <v>84</v>
      </c>
      <c r="K13" s="275">
        <v>84</v>
      </c>
      <c r="L13" s="275">
        <v>84</v>
      </c>
    </row>
    <row r="14" spans="1:12" ht="47.25" customHeight="1">
      <c r="A14" s="272" t="s">
        <v>226</v>
      </c>
      <c r="B14" s="273" t="s">
        <v>828</v>
      </c>
      <c r="C14" s="260">
        <v>927</v>
      </c>
      <c r="D14" s="274" t="s">
        <v>823</v>
      </c>
      <c r="E14" s="459" t="s">
        <v>1171</v>
      </c>
      <c r="F14" s="433">
        <v>151.19999999999999</v>
      </c>
      <c r="G14" s="307">
        <v>143.6</v>
      </c>
      <c r="H14" s="307">
        <v>137.6</v>
      </c>
      <c r="I14" s="447" t="s">
        <v>829</v>
      </c>
      <c r="J14" s="275">
        <v>66160</v>
      </c>
      <c r="K14" s="275">
        <v>66160</v>
      </c>
      <c r="L14" s="275">
        <v>66160</v>
      </c>
    </row>
    <row r="15" spans="1:12" ht="45" customHeight="1">
      <c r="A15" s="272" t="s">
        <v>229</v>
      </c>
      <c r="B15" s="273" t="s">
        <v>830</v>
      </c>
      <c r="C15" s="260">
        <v>927</v>
      </c>
      <c r="D15" s="274" t="s">
        <v>823</v>
      </c>
      <c r="E15" s="459" t="s">
        <v>1172</v>
      </c>
      <c r="F15" s="433">
        <v>115.8</v>
      </c>
      <c r="G15" s="307">
        <v>110</v>
      </c>
      <c r="H15" s="307">
        <v>105.3</v>
      </c>
      <c r="I15" s="447" t="s">
        <v>831</v>
      </c>
      <c r="J15" s="275">
        <v>58</v>
      </c>
      <c r="K15" s="275">
        <v>58</v>
      </c>
      <c r="L15" s="275">
        <v>58</v>
      </c>
    </row>
    <row r="16" spans="1:12" ht="27" customHeight="1">
      <c r="A16" s="272" t="s">
        <v>711</v>
      </c>
      <c r="B16" s="273" t="s">
        <v>832</v>
      </c>
      <c r="C16" s="260">
        <v>927</v>
      </c>
      <c r="D16" s="274" t="s">
        <v>823</v>
      </c>
      <c r="E16" s="459" t="s">
        <v>1173</v>
      </c>
      <c r="F16" s="433">
        <v>174.9</v>
      </c>
      <c r="G16" s="307">
        <v>166.2</v>
      </c>
      <c r="H16" s="307">
        <v>159.19999999999999</v>
      </c>
      <c r="I16" s="447" t="s">
        <v>825</v>
      </c>
      <c r="J16" s="275"/>
      <c r="K16" s="275"/>
      <c r="L16" s="275"/>
    </row>
    <row r="17" spans="1:12" s="271" customFormat="1" ht="25.5">
      <c r="A17" s="276" t="s">
        <v>38</v>
      </c>
      <c r="B17" s="268" t="s">
        <v>833</v>
      </c>
      <c r="C17" s="264"/>
      <c r="D17" s="274"/>
      <c r="E17" s="56" t="s">
        <v>1174</v>
      </c>
      <c r="F17" s="432">
        <f>F18+F25</f>
        <v>3093.54</v>
      </c>
      <c r="G17" s="432">
        <f>G18+G25</f>
        <v>2962.7</v>
      </c>
      <c r="H17" s="432">
        <f>H18+H25</f>
        <v>2858</v>
      </c>
      <c r="I17" s="446"/>
      <c r="J17" s="270"/>
      <c r="K17" s="270"/>
      <c r="L17" s="270"/>
    </row>
    <row r="18" spans="1:12" ht="38.25">
      <c r="A18" s="272" t="s">
        <v>195</v>
      </c>
      <c r="B18" s="273" t="s">
        <v>834</v>
      </c>
      <c r="C18" s="260"/>
      <c r="D18" s="274"/>
      <c r="E18" s="459" t="s">
        <v>1175</v>
      </c>
      <c r="F18" s="433">
        <f>SUM(F19:F24)</f>
        <v>2616.44</v>
      </c>
      <c r="G18" s="433">
        <f t="shared" ref="G18:H18" si="1">SUM(G19:G24)</f>
        <v>2485.6</v>
      </c>
      <c r="H18" s="433">
        <f t="shared" si="1"/>
        <v>2380.9</v>
      </c>
      <c r="I18" s="447"/>
      <c r="J18" s="275"/>
      <c r="K18" s="275"/>
      <c r="L18" s="275"/>
    </row>
    <row r="19" spans="1:12" ht="36">
      <c r="A19" s="272" t="s">
        <v>196</v>
      </c>
      <c r="B19" s="273" t="s">
        <v>835</v>
      </c>
      <c r="C19" s="260">
        <v>927</v>
      </c>
      <c r="D19" s="274" t="s">
        <v>823</v>
      </c>
      <c r="E19" s="459" t="s">
        <v>1176</v>
      </c>
      <c r="F19" s="433">
        <v>596.79</v>
      </c>
      <c r="G19" s="307">
        <v>567</v>
      </c>
      <c r="H19" s="307">
        <v>543.1</v>
      </c>
      <c r="I19" s="448" t="s">
        <v>836</v>
      </c>
      <c r="J19" s="275">
        <v>1654</v>
      </c>
      <c r="K19" s="275">
        <v>1654</v>
      </c>
      <c r="L19" s="275">
        <v>1654</v>
      </c>
    </row>
    <row r="20" spans="1:12" ht="36">
      <c r="A20" s="272" t="s">
        <v>238</v>
      </c>
      <c r="B20" s="273" t="s">
        <v>837</v>
      </c>
      <c r="C20" s="260">
        <v>927</v>
      </c>
      <c r="D20" s="274" t="s">
        <v>823</v>
      </c>
      <c r="E20" s="459" t="s">
        <v>1177</v>
      </c>
      <c r="F20" s="433">
        <v>1330.31</v>
      </c>
      <c r="G20" s="307">
        <v>1263.8</v>
      </c>
      <c r="H20" s="307">
        <v>1210.5999999999999</v>
      </c>
      <c r="I20" s="447" t="s">
        <v>838</v>
      </c>
      <c r="J20" s="275">
        <v>77</v>
      </c>
      <c r="K20" s="275">
        <v>77</v>
      </c>
      <c r="L20" s="275">
        <v>77</v>
      </c>
    </row>
    <row r="21" spans="1:12" ht="72">
      <c r="A21" s="272" t="s">
        <v>733</v>
      </c>
      <c r="B21" s="273" t="s">
        <v>839</v>
      </c>
      <c r="C21" s="260">
        <v>927</v>
      </c>
      <c r="D21" s="274"/>
      <c r="E21" s="459" t="s">
        <v>1178</v>
      </c>
      <c r="F21" s="433">
        <v>574.24</v>
      </c>
      <c r="G21" s="454">
        <v>545.5</v>
      </c>
      <c r="H21" s="454">
        <v>522.5</v>
      </c>
      <c r="I21" s="447" t="s">
        <v>840</v>
      </c>
      <c r="J21" s="275">
        <v>2050</v>
      </c>
      <c r="K21" s="275">
        <v>2050</v>
      </c>
      <c r="L21" s="275">
        <v>2050</v>
      </c>
    </row>
    <row r="22" spans="1:12" ht="25.5">
      <c r="A22" s="272" t="s">
        <v>736</v>
      </c>
      <c r="B22" s="273" t="s">
        <v>841</v>
      </c>
      <c r="C22" s="260">
        <v>925</v>
      </c>
      <c r="D22" s="274" t="s">
        <v>50</v>
      </c>
      <c r="E22" s="459" t="s">
        <v>1179</v>
      </c>
      <c r="F22" s="433">
        <v>18</v>
      </c>
      <c r="G22" s="455">
        <v>17.100000000000001</v>
      </c>
      <c r="H22" s="455">
        <v>16.399999999999999</v>
      </c>
      <c r="I22" s="447"/>
      <c r="J22" s="275"/>
      <c r="K22" s="275"/>
      <c r="L22" s="275"/>
    </row>
    <row r="23" spans="1:12" ht="25.5">
      <c r="A23" s="272" t="s">
        <v>739</v>
      </c>
      <c r="B23" s="273" t="s">
        <v>842</v>
      </c>
      <c r="C23" s="260">
        <v>925</v>
      </c>
      <c r="D23" s="274" t="s">
        <v>50</v>
      </c>
      <c r="E23" s="459" t="s">
        <v>1180</v>
      </c>
      <c r="F23" s="433">
        <v>39.6</v>
      </c>
      <c r="G23" s="455">
        <v>37.6</v>
      </c>
      <c r="H23" s="455">
        <v>36</v>
      </c>
      <c r="I23" s="447"/>
      <c r="J23" s="275"/>
      <c r="K23" s="275"/>
      <c r="L23" s="275"/>
    </row>
    <row r="24" spans="1:12" ht="25.5">
      <c r="A24" s="272" t="s">
        <v>843</v>
      </c>
      <c r="B24" s="273" t="s">
        <v>844</v>
      </c>
      <c r="C24" s="260">
        <v>928</v>
      </c>
      <c r="D24" s="274" t="s">
        <v>50</v>
      </c>
      <c r="E24" s="459" t="s">
        <v>1181</v>
      </c>
      <c r="F24" s="433">
        <v>57.5</v>
      </c>
      <c r="G24" s="455">
        <v>54.6</v>
      </c>
      <c r="H24" s="455">
        <v>52.3</v>
      </c>
      <c r="I24" s="447"/>
      <c r="J24" s="275"/>
      <c r="K24" s="275"/>
      <c r="L24" s="275"/>
    </row>
    <row r="25" spans="1:12">
      <c r="A25" s="272" t="s">
        <v>239</v>
      </c>
      <c r="B25" s="273" t="s">
        <v>845</v>
      </c>
      <c r="C25" s="260">
        <v>927</v>
      </c>
      <c r="D25" s="274" t="s">
        <v>823</v>
      </c>
      <c r="E25" s="459" t="s">
        <v>1182</v>
      </c>
      <c r="F25" s="433">
        <f>F26+F27</f>
        <v>477.09999999999997</v>
      </c>
      <c r="G25" s="433">
        <f t="shared" ref="G25:H25" si="2">G26+G27</f>
        <v>477.09999999999997</v>
      </c>
      <c r="H25" s="433">
        <f t="shared" si="2"/>
        <v>477.09999999999997</v>
      </c>
      <c r="I25" s="447"/>
      <c r="J25" s="275"/>
      <c r="K25" s="275"/>
      <c r="L25" s="275"/>
    </row>
    <row r="26" spans="1:12" ht="48">
      <c r="A26" s="272" t="s">
        <v>240</v>
      </c>
      <c r="B26" s="273" t="s">
        <v>846</v>
      </c>
      <c r="C26" s="260" t="s">
        <v>943</v>
      </c>
      <c r="D26" s="274" t="s">
        <v>823</v>
      </c>
      <c r="E26" s="459" t="s">
        <v>1183</v>
      </c>
      <c r="F26" s="433">
        <v>440.7</v>
      </c>
      <c r="G26" s="307">
        <v>440.7</v>
      </c>
      <c r="H26" s="307">
        <v>440.7</v>
      </c>
      <c r="I26" s="447" t="s">
        <v>847</v>
      </c>
      <c r="J26" s="275">
        <v>93</v>
      </c>
      <c r="K26" s="275">
        <v>93</v>
      </c>
      <c r="L26" s="275">
        <v>93</v>
      </c>
    </row>
    <row r="27" spans="1:12" ht="38.25">
      <c r="A27" s="272" t="s">
        <v>649</v>
      </c>
      <c r="B27" s="273" t="s">
        <v>848</v>
      </c>
      <c r="C27" s="260" t="s">
        <v>943</v>
      </c>
      <c r="D27" s="274" t="s">
        <v>823</v>
      </c>
      <c r="E27" s="459" t="s">
        <v>1184</v>
      </c>
      <c r="F27" s="433">
        <v>36.4</v>
      </c>
      <c r="G27" s="307">
        <v>36.4</v>
      </c>
      <c r="H27" s="307">
        <v>36.4</v>
      </c>
      <c r="I27" s="447" t="s">
        <v>825</v>
      </c>
      <c r="J27" s="275"/>
      <c r="K27" s="275"/>
      <c r="L27" s="275"/>
    </row>
    <row r="28" spans="1:12" ht="25.5">
      <c r="A28" s="276" t="s">
        <v>19</v>
      </c>
      <c r="B28" s="268" t="s">
        <v>1230</v>
      </c>
      <c r="C28" s="264"/>
      <c r="D28" s="274" t="s">
        <v>823</v>
      </c>
      <c r="E28" s="56" t="s">
        <v>1185</v>
      </c>
      <c r="F28" s="432">
        <f>F29+F38</f>
        <v>1171.3700000000001</v>
      </c>
      <c r="G28" s="432">
        <f>G29+G38</f>
        <v>1125.8</v>
      </c>
      <c r="H28" s="432">
        <f>H29+H38</f>
        <v>1078.3</v>
      </c>
      <c r="I28" s="446"/>
      <c r="J28" s="270"/>
      <c r="K28" s="270"/>
      <c r="L28" s="270"/>
    </row>
    <row r="29" spans="1:12" ht="26.25" customHeight="1">
      <c r="A29" s="272" t="s">
        <v>290</v>
      </c>
      <c r="B29" s="273" t="s">
        <v>849</v>
      </c>
      <c r="C29" s="260">
        <v>927</v>
      </c>
      <c r="D29" s="274" t="s">
        <v>823</v>
      </c>
      <c r="E29" s="459" t="s">
        <v>1186</v>
      </c>
      <c r="F29" s="433">
        <f>SUM(F30:F37)</f>
        <v>1031.8600000000001</v>
      </c>
      <c r="G29" s="433">
        <f>SUM(G30:G37)</f>
        <v>980.3</v>
      </c>
      <c r="H29" s="433">
        <f>SUM(H30:H37)</f>
        <v>939</v>
      </c>
      <c r="I29" s="447" t="s">
        <v>825</v>
      </c>
      <c r="J29" s="275"/>
      <c r="K29" s="275"/>
      <c r="L29" s="275"/>
    </row>
    <row r="30" spans="1:12" ht="48">
      <c r="A30" s="272" t="s">
        <v>241</v>
      </c>
      <c r="B30" s="273" t="s">
        <v>850</v>
      </c>
      <c r="C30" s="260">
        <v>927</v>
      </c>
      <c r="D30" s="274" t="s">
        <v>823</v>
      </c>
      <c r="E30" s="459" t="s">
        <v>1187</v>
      </c>
      <c r="F30" s="433">
        <v>373.97</v>
      </c>
      <c r="G30" s="307">
        <v>355.3</v>
      </c>
      <c r="H30" s="307">
        <v>340.3</v>
      </c>
      <c r="I30" s="447" t="s">
        <v>851</v>
      </c>
      <c r="J30" s="275">
        <v>1030</v>
      </c>
      <c r="K30" s="275">
        <v>1030</v>
      </c>
      <c r="L30" s="275">
        <v>1030</v>
      </c>
    </row>
    <row r="31" spans="1:12" ht="24">
      <c r="A31" s="272" t="s">
        <v>340</v>
      </c>
      <c r="B31" s="273" t="s">
        <v>852</v>
      </c>
      <c r="C31" s="260">
        <v>927</v>
      </c>
      <c r="D31" s="274" t="s">
        <v>823</v>
      </c>
      <c r="E31" s="459" t="s">
        <v>1188</v>
      </c>
      <c r="F31" s="433">
        <v>172.77</v>
      </c>
      <c r="G31" s="307">
        <v>164.1</v>
      </c>
      <c r="H31" s="307">
        <v>157.19999999999999</v>
      </c>
      <c r="I31" s="447" t="s">
        <v>853</v>
      </c>
      <c r="J31" s="275">
        <v>11570</v>
      </c>
      <c r="K31" s="275">
        <v>11570</v>
      </c>
      <c r="L31" s="275">
        <v>11570</v>
      </c>
    </row>
    <row r="32" spans="1:12" ht="24">
      <c r="A32" s="272" t="s">
        <v>854</v>
      </c>
      <c r="B32" s="273" t="s">
        <v>855</v>
      </c>
      <c r="C32" s="260">
        <v>927</v>
      </c>
      <c r="D32" s="274" t="s">
        <v>823</v>
      </c>
      <c r="E32" s="459" t="s">
        <v>1189</v>
      </c>
      <c r="F32" s="433">
        <v>95.02</v>
      </c>
      <c r="G32" s="307">
        <v>90.3</v>
      </c>
      <c r="H32" s="307">
        <v>86.5</v>
      </c>
      <c r="I32" s="447" t="s">
        <v>856</v>
      </c>
      <c r="J32" s="275">
        <v>9</v>
      </c>
      <c r="K32" s="275">
        <v>9</v>
      </c>
      <c r="L32" s="275">
        <v>9</v>
      </c>
    </row>
    <row r="33" spans="1:12" ht="24">
      <c r="A33" s="272" t="s">
        <v>857</v>
      </c>
      <c r="B33" s="273" t="s">
        <v>858</v>
      </c>
      <c r="C33" s="260">
        <v>927</v>
      </c>
      <c r="D33" s="274" t="s">
        <v>823</v>
      </c>
      <c r="E33" s="459" t="s">
        <v>1190</v>
      </c>
      <c r="F33" s="433">
        <v>53.21</v>
      </c>
      <c r="G33" s="307">
        <v>50.5</v>
      </c>
      <c r="H33" s="307">
        <v>48.4</v>
      </c>
      <c r="I33" s="447" t="s">
        <v>859</v>
      </c>
      <c r="J33" s="275">
        <v>26</v>
      </c>
      <c r="K33" s="275">
        <v>26</v>
      </c>
      <c r="L33" s="275">
        <v>26</v>
      </c>
    </row>
    <row r="34" spans="1:12" ht="36">
      <c r="A34" s="272" t="s">
        <v>860</v>
      </c>
      <c r="B34" s="273" t="s">
        <v>861</v>
      </c>
      <c r="C34" s="260">
        <v>927</v>
      </c>
      <c r="D34" s="274" t="s">
        <v>823</v>
      </c>
      <c r="E34" s="459" t="s">
        <v>1191</v>
      </c>
      <c r="F34" s="433">
        <v>86.38</v>
      </c>
      <c r="G34" s="307">
        <v>82.1</v>
      </c>
      <c r="H34" s="307">
        <v>78.599999999999994</v>
      </c>
      <c r="I34" s="447" t="s">
        <v>862</v>
      </c>
      <c r="J34" s="275">
        <v>2400</v>
      </c>
      <c r="K34" s="275">
        <v>2400</v>
      </c>
      <c r="L34" s="275">
        <v>2400</v>
      </c>
    </row>
    <row r="35" spans="1:12" ht="24">
      <c r="A35" s="272" t="s">
        <v>863</v>
      </c>
      <c r="B35" s="273" t="s">
        <v>864</v>
      </c>
      <c r="C35" s="260">
        <v>927</v>
      </c>
      <c r="D35" s="274" t="s">
        <v>823</v>
      </c>
      <c r="E35" s="459" t="s">
        <v>1192</v>
      </c>
      <c r="F35" s="433">
        <v>207.32</v>
      </c>
      <c r="G35" s="307">
        <v>197</v>
      </c>
      <c r="H35" s="307">
        <v>188.7</v>
      </c>
      <c r="I35" s="447" t="s">
        <v>865</v>
      </c>
      <c r="J35" s="275">
        <v>33</v>
      </c>
      <c r="K35" s="275">
        <v>33</v>
      </c>
      <c r="L35" s="275">
        <v>33</v>
      </c>
    </row>
    <row r="36" spans="1:12">
      <c r="A36" s="272" t="s">
        <v>866</v>
      </c>
      <c r="B36" s="273" t="s">
        <v>867</v>
      </c>
      <c r="C36" s="260">
        <v>927</v>
      </c>
      <c r="D36" s="274" t="s">
        <v>823</v>
      </c>
      <c r="E36" s="459" t="s">
        <v>1193</v>
      </c>
      <c r="F36" s="433">
        <v>43.19</v>
      </c>
      <c r="G36" s="307">
        <v>41</v>
      </c>
      <c r="H36" s="307">
        <v>39.299999999999997</v>
      </c>
      <c r="I36" s="447" t="s">
        <v>825</v>
      </c>
      <c r="J36" s="275"/>
      <c r="K36" s="275"/>
      <c r="L36" s="275"/>
    </row>
    <row r="37" spans="1:12" ht="25.5">
      <c r="A37" s="272" t="s">
        <v>868</v>
      </c>
      <c r="B37" s="273" t="s">
        <v>869</v>
      </c>
      <c r="C37" s="260">
        <v>927</v>
      </c>
      <c r="D37" s="274" t="s">
        <v>823</v>
      </c>
      <c r="E37" s="459"/>
      <c r="F37" s="433">
        <v>0</v>
      </c>
      <c r="G37" s="307">
        <v>0</v>
      </c>
      <c r="H37" s="307">
        <v>0</v>
      </c>
      <c r="I37" s="447" t="s">
        <v>825</v>
      </c>
      <c r="J37" s="275"/>
      <c r="K37" s="275"/>
      <c r="L37" s="275"/>
    </row>
    <row r="38" spans="1:12">
      <c r="A38" s="272" t="s">
        <v>798</v>
      </c>
      <c r="B38" s="273" t="s">
        <v>870</v>
      </c>
      <c r="C38" s="260">
        <v>927</v>
      </c>
      <c r="D38" s="274" t="s">
        <v>823</v>
      </c>
      <c r="E38" s="459" t="s">
        <v>1194</v>
      </c>
      <c r="F38" s="433">
        <f>SUM(F39:F41)</f>
        <v>139.51</v>
      </c>
      <c r="G38" s="433">
        <f>SUM(G39:G41)</f>
        <v>145.5</v>
      </c>
      <c r="H38" s="433">
        <f>SUM(H39:H41)</f>
        <v>139.30000000000001</v>
      </c>
      <c r="I38" s="447" t="s">
        <v>825</v>
      </c>
      <c r="J38" s="275"/>
      <c r="K38" s="275"/>
      <c r="L38" s="275"/>
    </row>
    <row r="39" spans="1:12" ht="25.5">
      <c r="A39" s="272" t="s">
        <v>800</v>
      </c>
      <c r="B39" s="273" t="s">
        <v>871</v>
      </c>
      <c r="C39" s="260">
        <v>927</v>
      </c>
      <c r="D39" s="274" t="s">
        <v>823</v>
      </c>
      <c r="E39" s="459" t="s">
        <v>1195</v>
      </c>
      <c r="F39" s="433">
        <v>53.13</v>
      </c>
      <c r="G39" s="307">
        <v>50.5</v>
      </c>
      <c r="H39" s="307">
        <v>48.3</v>
      </c>
      <c r="I39" s="447" t="s">
        <v>825</v>
      </c>
      <c r="J39" s="275"/>
      <c r="K39" s="275"/>
      <c r="L39" s="275"/>
    </row>
    <row r="40" spans="1:12">
      <c r="A40" s="272" t="s">
        <v>359</v>
      </c>
      <c r="B40" s="273" t="s">
        <v>872</v>
      </c>
      <c r="C40" s="260">
        <v>927</v>
      </c>
      <c r="D40" s="274" t="s">
        <v>823</v>
      </c>
      <c r="E40" s="459" t="s">
        <v>1196</v>
      </c>
      <c r="F40" s="433">
        <v>0</v>
      </c>
      <c r="G40" s="307">
        <v>0</v>
      </c>
      <c r="H40" s="307">
        <v>0</v>
      </c>
      <c r="I40" s="447" t="s">
        <v>825</v>
      </c>
      <c r="J40" s="275"/>
      <c r="K40" s="275"/>
      <c r="L40" s="275"/>
    </row>
    <row r="41" spans="1:12" ht="25.5">
      <c r="A41" s="272" t="s">
        <v>873</v>
      </c>
      <c r="B41" s="273" t="s">
        <v>874</v>
      </c>
      <c r="C41" s="260">
        <v>927</v>
      </c>
      <c r="D41" s="274" t="s">
        <v>823</v>
      </c>
      <c r="E41" s="459" t="s">
        <v>1197</v>
      </c>
      <c r="F41" s="433">
        <v>86.38</v>
      </c>
      <c r="G41" s="307">
        <v>95</v>
      </c>
      <c r="H41" s="307">
        <v>91</v>
      </c>
      <c r="I41" s="447" t="s">
        <v>825</v>
      </c>
      <c r="J41" s="275"/>
      <c r="K41" s="275"/>
      <c r="L41" s="275"/>
    </row>
    <row r="42" spans="1:12" s="271" customFormat="1" ht="25.5">
      <c r="A42" s="276" t="s">
        <v>21</v>
      </c>
      <c r="B42" s="268" t="s">
        <v>875</v>
      </c>
      <c r="C42" s="264"/>
      <c r="D42" s="274"/>
      <c r="E42" s="56" t="s">
        <v>1198</v>
      </c>
      <c r="F42" s="432">
        <f>F43+F52+F56</f>
        <v>25887.24</v>
      </c>
      <c r="G42" s="432">
        <f t="shared" ref="G42:H42" si="3">G43+G52+G56</f>
        <v>22608.7</v>
      </c>
      <c r="H42" s="432">
        <f t="shared" si="3"/>
        <v>25663.5</v>
      </c>
      <c r="I42" s="449"/>
      <c r="J42" s="277"/>
      <c r="K42" s="277"/>
      <c r="L42" s="270"/>
    </row>
    <row r="43" spans="1:12" s="271" customFormat="1" ht="25.5">
      <c r="A43" s="272" t="s">
        <v>362</v>
      </c>
      <c r="B43" s="273" t="s">
        <v>876</v>
      </c>
      <c r="C43" s="260"/>
      <c r="D43" s="274"/>
      <c r="E43" s="459" t="s">
        <v>1199</v>
      </c>
      <c r="F43" s="432">
        <f>F44+F48</f>
        <v>2588.1999999999998</v>
      </c>
      <c r="G43" s="432">
        <f t="shared" ref="G43:H43" si="4">G44</f>
        <v>2588</v>
      </c>
      <c r="H43" s="432">
        <f t="shared" si="4"/>
        <v>2588</v>
      </c>
      <c r="I43" s="449"/>
      <c r="J43" s="277"/>
      <c r="K43" s="277"/>
      <c r="L43" s="270"/>
    </row>
    <row r="44" spans="1:12" ht="25.5">
      <c r="A44" s="272" t="s">
        <v>363</v>
      </c>
      <c r="B44" s="273" t="s">
        <v>877</v>
      </c>
      <c r="C44" s="260"/>
      <c r="D44" s="274"/>
      <c r="E44" s="239" t="s">
        <v>1200</v>
      </c>
      <c r="F44" s="433">
        <f>F45+F46+F47</f>
        <v>2588</v>
      </c>
      <c r="G44" s="433">
        <f t="shared" ref="G44:H44" si="5">G45+G46+G47</f>
        <v>2588</v>
      </c>
      <c r="H44" s="433">
        <f t="shared" si="5"/>
        <v>2588</v>
      </c>
      <c r="I44" s="447"/>
      <c r="J44" s="275"/>
      <c r="K44" s="275"/>
      <c r="L44" s="275"/>
    </row>
    <row r="45" spans="1:12" ht="36.75" customHeight="1">
      <c r="A45" s="272"/>
      <c r="B45" s="273" t="s">
        <v>878</v>
      </c>
      <c r="C45" s="260">
        <v>927</v>
      </c>
      <c r="D45" s="274" t="s">
        <v>823</v>
      </c>
      <c r="E45" s="239" t="s">
        <v>1200</v>
      </c>
      <c r="F45" s="433">
        <v>800</v>
      </c>
      <c r="G45" s="433">
        <v>800</v>
      </c>
      <c r="H45" s="433">
        <v>800</v>
      </c>
      <c r="I45" s="447" t="s">
        <v>879</v>
      </c>
      <c r="J45" s="275">
        <v>25</v>
      </c>
      <c r="K45" s="275">
        <v>25</v>
      </c>
      <c r="L45" s="275">
        <v>25</v>
      </c>
    </row>
    <row r="46" spans="1:12">
      <c r="A46" s="272"/>
      <c r="B46" s="273" t="s">
        <v>880</v>
      </c>
      <c r="C46" s="260">
        <v>927</v>
      </c>
      <c r="D46" s="274" t="s">
        <v>823</v>
      </c>
      <c r="E46" s="239" t="s">
        <v>1200</v>
      </c>
      <c r="F46" s="433">
        <v>1140.2</v>
      </c>
      <c r="G46" s="433">
        <v>1140.2</v>
      </c>
      <c r="H46" s="433">
        <v>1140.2</v>
      </c>
      <c r="I46" s="447"/>
      <c r="J46" s="275"/>
      <c r="K46" s="275"/>
      <c r="L46" s="275"/>
    </row>
    <row r="47" spans="1:12">
      <c r="A47" s="272"/>
      <c r="B47" s="273" t="s">
        <v>881</v>
      </c>
      <c r="C47" s="260">
        <v>927</v>
      </c>
      <c r="D47" s="274" t="s">
        <v>823</v>
      </c>
      <c r="E47" s="239" t="s">
        <v>1200</v>
      </c>
      <c r="F47" s="433">
        <v>647.79999999999995</v>
      </c>
      <c r="G47" s="433">
        <v>647.79999999999995</v>
      </c>
      <c r="H47" s="433">
        <v>647.79999999999995</v>
      </c>
      <c r="I47" s="447"/>
      <c r="J47" s="275"/>
      <c r="K47" s="275"/>
      <c r="L47" s="275"/>
    </row>
    <row r="48" spans="1:12" s="624" customFormat="1">
      <c r="A48" s="272" t="s">
        <v>93</v>
      </c>
      <c r="B48" s="278" t="s">
        <v>1575</v>
      </c>
      <c r="C48" s="260"/>
      <c r="D48" s="274"/>
      <c r="E48" s="239"/>
      <c r="F48" s="432">
        <f>F49+F50+F51</f>
        <v>0.2</v>
      </c>
      <c r="G48" s="433"/>
      <c r="H48" s="433"/>
      <c r="I48" s="447"/>
      <c r="J48" s="275"/>
      <c r="K48" s="275"/>
      <c r="L48" s="275"/>
    </row>
    <row r="49" spans="1:12" s="624" customFormat="1" ht="25.5">
      <c r="A49" s="272"/>
      <c r="B49" s="273" t="s">
        <v>1576</v>
      </c>
      <c r="C49" s="260" t="s">
        <v>1580</v>
      </c>
      <c r="D49" s="274"/>
      <c r="E49" s="239" t="s">
        <v>1579</v>
      </c>
      <c r="F49" s="433">
        <v>0.1</v>
      </c>
      <c r="G49" s="433"/>
      <c r="H49" s="433"/>
      <c r="I49" s="447"/>
      <c r="J49" s="275"/>
      <c r="K49" s="275"/>
      <c r="L49" s="275"/>
    </row>
    <row r="50" spans="1:12" s="624" customFormat="1" ht="25.5">
      <c r="A50" s="272"/>
      <c r="B50" s="273" t="s">
        <v>1577</v>
      </c>
      <c r="C50" s="260" t="s">
        <v>1580</v>
      </c>
      <c r="D50" s="274"/>
      <c r="E50" s="239" t="s">
        <v>1579</v>
      </c>
      <c r="F50" s="433">
        <v>0.1</v>
      </c>
      <c r="G50" s="433"/>
      <c r="H50" s="433"/>
      <c r="I50" s="447"/>
      <c r="J50" s="275"/>
      <c r="K50" s="275"/>
      <c r="L50" s="275"/>
    </row>
    <row r="51" spans="1:12" s="624" customFormat="1" ht="25.5">
      <c r="A51" s="272"/>
      <c r="B51" s="278" t="s">
        <v>1578</v>
      </c>
      <c r="C51" s="260" t="s">
        <v>1580</v>
      </c>
      <c r="D51" s="274"/>
      <c r="E51" s="239" t="s">
        <v>1579</v>
      </c>
      <c r="F51" s="433">
        <v>0</v>
      </c>
      <c r="G51" s="433"/>
      <c r="H51" s="433"/>
      <c r="I51" s="447"/>
      <c r="J51" s="275"/>
      <c r="K51" s="275"/>
      <c r="L51" s="275"/>
    </row>
    <row r="52" spans="1:12">
      <c r="A52" s="272" t="s">
        <v>366</v>
      </c>
      <c r="B52" s="278" t="s">
        <v>882</v>
      </c>
      <c r="C52" s="260">
        <v>927</v>
      </c>
      <c r="D52" s="274" t="s">
        <v>823</v>
      </c>
      <c r="E52" s="459" t="s">
        <v>1201</v>
      </c>
      <c r="F52" s="432">
        <f>F53+F54+F55</f>
        <v>6681.6399999999994</v>
      </c>
      <c r="G52" s="432">
        <f t="shared" ref="G52:H52" si="6">G53+G54+G55</f>
        <v>4424.7000000000007</v>
      </c>
      <c r="H52" s="432">
        <f t="shared" si="6"/>
        <v>6960.6</v>
      </c>
      <c r="I52" s="449"/>
      <c r="J52" s="277"/>
      <c r="K52" s="277"/>
      <c r="L52" s="275"/>
    </row>
    <row r="53" spans="1:12">
      <c r="A53" s="272" t="s">
        <v>368</v>
      </c>
      <c r="B53" s="278" t="s">
        <v>883</v>
      </c>
      <c r="C53" s="260">
        <v>927</v>
      </c>
      <c r="D53" s="274" t="s">
        <v>823</v>
      </c>
      <c r="E53" s="459" t="s">
        <v>1202</v>
      </c>
      <c r="F53" s="433">
        <v>863.83999999999992</v>
      </c>
      <c r="G53" s="307">
        <v>820.6</v>
      </c>
      <c r="H53" s="307">
        <v>786.1</v>
      </c>
      <c r="I53" s="447"/>
      <c r="J53" s="275"/>
      <c r="K53" s="275"/>
      <c r="L53" s="275"/>
    </row>
    <row r="54" spans="1:12" ht="25.5">
      <c r="A54" s="272" t="s">
        <v>884</v>
      </c>
      <c r="B54" s="273" t="s">
        <v>885</v>
      </c>
      <c r="C54" s="260">
        <v>927</v>
      </c>
      <c r="D54" s="274" t="s">
        <v>823</v>
      </c>
      <c r="E54" s="459" t="s">
        <v>1203</v>
      </c>
      <c r="F54" s="433">
        <v>1204.9000000000001</v>
      </c>
      <c r="G54" s="307">
        <v>1062.8</v>
      </c>
      <c r="H54" s="307">
        <v>989</v>
      </c>
      <c r="I54" s="447"/>
      <c r="J54" s="275"/>
      <c r="K54" s="275"/>
      <c r="L54" s="275"/>
    </row>
    <row r="55" spans="1:12" s="467" customFormat="1" ht="36.75" customHeight="1">
      <c r="A55" s="272" t="s">
        <v>886</v>
      </c>
      <c r="B55" s="273" t="s">
        <v>1581</v>
      </c>
      <c r="C55" s="260">
        <v>927</v>
      </c>
      <c r="D55" s="274" t="s">
        <v>823</v>
      </c>
      <c r="E55" s="625" t="s">
        <v>1582</v>
      </c>
      <c r="F55" s="433">
        <v>4612.8999999999996</v>
      </c>
      <c r="G55" s="455">
        <v>2541.3000000000002</v>
      </c>
      <c r="H55" s="455">
        <v>5185.5</v>
      </c>
      <c r="I55" s="447"/>
      <c r="J55" s="275"/>
      <c r="K55" s="275"/>
      <c r="L55" s="275"/>
    </row>
    <row r="56" spans="1:12" ht="25.5">
      <c r="A56" s="272" t="s">
        <v>1585</v>
      </c>
      <c r="B56" s="273" t="s">
        <v>1587</v>
      </c>
      <c r="C56" s="260">
        <v>927</v>
      </c>
      <c r="D56" s="274" t="s">
        <v>823</v>
      </c>
      <c r="E56" s="629" t="s">
        <v>1583</v>
      </c>
      <c r="F56" s="432">
        <f>F57</f>
        <v>16617.400000000001</v>
      </c>
      <c r="G56" s="432">
        <f t="shared" ref="G56:H56" si="7">G57</f>
        <v>15596</v>
      </c>
      <c r="H56" s="432">
        <f t="shared" si="7"/>
        <v>16114.9</v>
      </c>
      <c r="I56" s="447"/>
      <c r="J56" s="275"/>
      <c r="K56" s="275"/>
      <c r="L56" s="275"/>
    </row>
    <row r="57" spans="1:12" ht="28.5" customHeight="1">
      <c r="A57" s="272" t="s">
        <v>1586</v>
      </c>
      <c r="B57" s="273" t="s">
        <v>1588</v>
      </c>
      <c r="C57" s="260">
        <v>927</v>
      </c>
      <c r="D57" s="274" t="s">
        <v>823</v>
      </c>
      <c r="E57" s="630" t="s">
        <v>1584</v>
      </c>
      <c r="F57" s="433">
        <v>16617.400000000001</v>
      </c>
      <c r="G57" s="307">
        <v>15596</v>
      </c>
      <c r="H57" s="307">
        <v>16114.9</v>
      </c>
      <c r="I57" s="447"/>
      <c r="J57" s="275"/>
      <c r="K57" s="275"/>
      <c r="L57" s="275"/>
    </row>
    <row r="58" spans="1:12" s="271" customFormat="1" ht="25.5">
      <c r="A58" s="276" t="s">
        <v>36</v>
      </c>
      <c r="B58" s="268" t="s">
        <v>887</v>
      </c>
      <c r="C58" s="264"/>
      <c r="D58" s="274"/>
      <c r="E58" s="56" t="s">
        <v>1204</v>
      </c>
      <c r="F58" s="432">
        <f>F59+F67</f>
        <v>15866.130000000001</v>
      </c>
      <c r="G58" s="432">
        <f>G59+G67</f>
        <v>15389.4</v>
      </c>
      <c r="H58" s="432">
        <f>H59+H67</f>
        <v>14968.1</v>
      </c>
      <c r="I58" s="446"/>
      <c r="J58" s="270"/>
      <c r="K58" s="270"/>
      <c r="L58" s="270"/>
    </row>
    <row r="59" spans="1:12">
      <c r="A59" s="272" t="s">
        <v>369</v>
      </c>
      <c r="B59" s="273" t="s">
        <v>888</v>
      </c>
      <c r="C59" s="260"/>
      <c r="D59" s="274"/>
      <c r="E59" s="459" t="s">
        <v>1205</v>
      </c>
      <c r="F59" s="433">
        <f>F60+F61+F62+F63+F64+F65+F66</f>
        <v>11173.130000000001</v>
      </c>
      <c r="G59" s="433">
        <f>G60+G61+G62+G63+G64+G65+G66</f>
        <v>10696.4</v>
      </c>
      <c r="H59" s="433">
        <f>H60+H61+H62+H63+H64+H65+H66</f>
        <v>10275.1</v>
      </c>
      <c r="I59" s="450"/>
      <c r="J59" s="279"/>
      <c r="K59" s="279"/>
      <c r="L59" s="275"/>
    </row>
    <row r="60" spans="1:12">
      <c r="A60" s="272" t="s">
        <v>889</v>
      </c>
      <c r="B60" s="273" t="s">
        <v>890</v>
      </c>
      <c r="C60" s="260">
        <v>927</v>
      </c>
      <c r="D60" s="274" t="s">
        <v>823</v>
      </c>
      <c r="E60" s="468" t="s">
        <v>1206</v>
      </c>
      <c r="F60" s="433">
        <v>185</v>
      </c>
      <c r="G60" s="307">
        <v>175.8</v>
      </c>
      <c r="H60" s="307">
        <v>168.4</v>
      </c>
      <c r="I60" s="447"/>
      <c r="J60" s="275"/>
      <c r="K60" s="275"/>
      <c r="L60" s="275"/>
    </row>
    <row r="61" spans="1:12" ht="25.5">
      <c r="A61" s="272" t="s">
        <v>891</v>
      </c>
      <c r="B61" s="273" t="s">
        <v>1228</v>
      </c>
      <c r="C61" s="260">
        <v>927</v>
      </c>
      <c r="D61" s="274" t="s">
        <v>823</v>
      </c>
      <c r="E61" s="468" t="s">
        <v>1207</v>
      </c>
      <c r="F61" s="433">
        <v>77.75</v>
      </c>
      <c r="G61" s="307">
        <v>73.900000000000006</v>
      </c>
      <c r="H61" s="307">
        <v>70.8</v>
      </c>
      <c r="I61" s="447"/>
      <c r="J61" s="275"/>
      <c r="K61" s="275"/>
      <c r="L61" s="275"/>
    </row>
    <row r="62" spans="1:12" ht="25.5">
      <c r="A62" s="272" t="s">
        <v>892</v>
      </c>
      <c r="B62" s="273" t="s">
        <v>1102</v>
      </c>
      <c r="C62" s="260">
        <v>927</v>
      </c>
      <c r="D62" s="274" t="s">
        <v>823</v>
      </c>
      <c r="E62" s="468" t="s">
        <v>1208</v>
      </c>
      <c r="F62" s="433">
        <v>116.62</v>
      </c>
      <c r="G62" s="307">
        <v>110.8</v>
      </c>
      <c r="H62" s="307">
        <v>106.1</v>
      </c>
      <c r="I62" s="447" t="s">
        <v>893</v>
      </c>
      <c r="J62" s="275">
        <v>14</v>
      </c>
      <c r="K62" s="275">
        <v>14</v>
      </c>
      <c r="L62" s="275">
        <v>14</v>
      </c>
    </row>
    <row r="63" spans="1:12" ht="25.5">
      <c r="A63" s="272" t="s">
        <v>894</v>
      </c>
      <c r="B63" s="273" t="s">
        <v>895</v>
      </c>
      <c r="C63" s="260">
        <v>927</v>
      </c>
      <c r="D63" s="274" t="s">
        <v>823</v>
      </c>
      <c r="E63" s="468" t="s">
        <v>1209</v>
      </c>
      <c r="F63" s="433">
        <v>1066.73</v>
      </c>
      <c r="G63" s="307">
        <v>1013.4</v>
      </c>
      <c r="H63" s="307">
        <v>970.7</v>
      </c>
      <c r="I63" s="447" t="s">
        <v>896</v>
      </c>
      <c r="J63" s="275">
        <v>80</v>
      </c>
      <c r="K63" s="275">
        <v>80</v>
      </c>
      <c r="L63" s="275">
        <v>80</v>
      </c>
    </row>
    <row r="64" spans="1:12">
      <c r="A64" s="272" t="s">
        <v>897</v>
      </c>
      <c r="B64" s="273" t="s">
        <v>898</v>
      </c>
      <c r="C64" s="260">
        <v>927</v>
      </c>
      <c r="D64" s="274" t="s">
        <v>823</v>
      </c>
      <c r="E64" s="468" t="s">
        <v>1210</v>
      </c>
      <c r="F64" s="433">
        <v>1992.2</v>
      </c>
      <c r="G64" s="307">
        <v>1892.5</v>
      </c>
      <c r="H64" s="307">
        <v>1812.9</v>
      </c>
      <c r="I64" s="447" t="s">
        <v>899</v>
      </c>
      <c r="J64" s="275">
        <v>280</v>
      </c>
      <c r="K64" s="275">
        <v>280</v>
      </c>
      <c r="L64" s="275">
        <v>280</v>
      </c>
    </row>
    <row r="65" spans="1:12">
      <c r="A65" s="272" t="s">
        <v>900</v>
      </c>
      <c r="B65" s="273" t="s">
        <v>901</v>
      </c>
      <c r="C65" s="260">
        <v>927</v>
      </c>
      <c r="D65" s="274" t="s">
        <v>823</v>
      </c>
      <c r="E65" s="468" t="s">
        <v>1211</v>
      </c>
      <c r="F65" s="433">
        <v>345.53</v>
      </c>
      <c r="G65" s="307">
        <v>380</v>
      </c>
      <c r="H65" s="307">
        <v>364</v>
      </c>
      <c r="I65" s="447"/>
      <c r="J65" s="275"/>
      <c r="K65" s="275"/>
      <c r="L65" s="275"/>
    </row>
    <row r="66" spans="1:12">
      <c r="A66" s="272" t="s">
        <v>902</v>
      </c>
      <c r="B66" s="273" t="s">
        <v>903</v>
      </c>
      <c r="C66" s="260">
        <v>927</v>
      </c>
      <c r="D66" s="274" t="s">
        <v>823</v>
      </c>
      <c r="E66" s="468" t="s">
        <v>1229</v>
      </c>
      <c r="F66" s="433">
        <v>7389.3000000000011</v>
      </c>
      <c r="G66" s="307">
        <v>7050</v>
      </c>
      <c r="H66" s="307">
        <v>6782.2</v>
      </c>
      <c r="I66" s="447"/>
      <c r="J66" s="275"/>
      <c r="K66" s="275"/>
      <c r="L66" s="275"/>
    </row>
    <row r="67" spans="1:12">
      <c r="A67" s="272" t="s">
        <v>125</v>
      </c>
      <c r="B67" s="273" t="s">
        <v>904</v>
      </c>
      <c r="C67" s="260"/>
      <c r="D67" s="274"/>
      <c r="E67" s="459" t="s">
        <v>1212</v>
      </c>
      <c r="F67" s="432">
        <f>F68</f>
        <v>4693</v>
      </c>
      <c r="G67" s="432">
        <f t="shared" ref="G67:H67" si="8">G68</f>
        <v>4693</v>
      </c>
      <c r="H67" s="432">
        <f t="shared" si="8"/>
        <v>4693</v>
      </c>
      <c r="I67" s="447"/>
      <c r="J67" s="275"/>
      <c r="K67" s="275"/>
      <c r="L67" s="275"/>
    </row>
    <row r="68" spans="1:12" ht="25.5">
      <c r="A68" s="272" t="s">
        <v>905</v>
      </c>
      <c r="B68" s="273" t="s">
        <v>724</v>
      </c>
      <c r="C68" s="260"/>
      <c r="D68" s="274"/>
      <c r="E68" s="459" t="s">
        <v>1213</v>
      </c>
      <c r="F68" s="433">
        <f>F69</f>
        <v>4693</v>
      </c>
      <c r="G68" s="433">
        <f>G70</f>
        <v>4693</v>
      </c>
      <c r="H68" s="433">
        <f>H71</f>
        <v>4693</v>
      </c>
      <c r="I68" s="447"/>
      <c r="J68" s="275"/>
      <c r="K68" s="275"/>
      <c r="L68" s="275"/>
    </row>
    <row r="69" spans="1:12">
      <c r="A69" s="272"/>
      <c r="B69" s="273" t="s">
        <v>906</v>
      </c>
      <c r="C69" s="260">
        <v>927</v>
      </c>
      <c r="D69" s="274" t="s">
        <v>823</v>
      </c>
      <c r="E69" s="459" t="s">
        <v>1213</v>
      </c>
      <c r="F69" s="433">
        <v>4693</v>
      </c>
      <c r="G69" s="433"/>
      <c r="H69" s="433"/>
      <c r="I69" s="447"/>
      <c r="J69" s="275"/>
      <c r="K69" s="275"/>
      <c r="L69" s="275"/>
    </row>
    <row r="70" spans="1:12">
      <c r="A70" s="272"/>
      <c r="B70" s="273" t="s">
        <v>907</v>
      </c>
      <c r="C70" s="260">
        <v>927</v>
      </c>
      <c r="D70" s="274" t="s">
        <v>823</v>
      </c>
      <c r="E70" s="459" t="s">
        <v>1213</v>
      </c>
      <c r="F70" s="433"/>
      <c r="G70" s="433">
        <v>4693</v>
      </c>
      <c r="H70" s="433"/>
      <c r="I70" s="447"/>
      <c r="J70" s="275"/>
      <c r="K70" s="275"/>
      <c r="L70" s="275"/>
    </row>
    <row r="71" spans="1:12">
      <c r="A71" s="272"/>
      <c r="B71" s="273" t="s">
        <v>908</v>
      </c>
      <c r="C71" s="260">
        <v>927</v>
      </c>
      <c r="D71" s="274" t="s">
        <v>823</v>
      </c>
      <c r="E71" s="459" t="s">
        <v>1213</v>
      </c>
      <c r="F71" s="433"/>
      <c r="G71" s="433"/>
      <c r="H71" s="433">
        <v>4693</v>
      </c>
      <c r="I71" s="447"/>
      <c r="J71" s="275"/>
      <c r="K71" s="275"/>
      <c r="L71" s="275"/>
    </row>
    <row r="72" spans="1:12">
      <c r="A72" s="276" t="s">
        <v>42</v>
      </c>
      <c r="B72" s="268" t="s">
        <v>909</v>
      </c>
      <c r="C72" s="264"/>
      <c r="D72" s="274"/>
      <c r="E72" s="280" t="s">
        <v>1214</v>
      </c>
      <c r="F72" s="432">
        <f>F73</f>
        <v>11597.3</v>
      </c>
      <c r="G72" s="432">
        <f t="shared" ref="G72:H72" si="9">G73</f>
        <v>10891.7</v>
      </c>
      <c r="H72" s="432">
        <f t="shared" si="9"/>
        <v>10434.1</v>
      </c>
      <c r="I72" s="446"/>
      <c r="J72" s="270"/>
      <c r="K72" s="270"/>
      <c r="L72" s="270"/>
    </row>
    <row r="73" spans="1:12">
      <c r="A73" s="272" t="s">
        <v>370</v>
      </c>
      <c r="B73" s="147" t="s">
        <v>910</v>
      </c>
      <c r="C73" s="260"/>
      <c r="D73" s="274"/>
      <c r="E73" s="281" t="s">
        <v>1215</v>
      </c>
      <c r="F73" s="433">
        <v>11597.3</v>
      </c>
      <c r="G73" s="433">
        <v>10891.7</v>
      </c>
      <c r="H73" s="433">
        <v>10434.1</v>
      </c>
      <c r="I73" s="450"/>
      <c r="J73" s="279"/>
      <c r="K73" s="279"/>
      <c r="L73" s="275"/>
    </row>
    <row r="74" spans="1:12">
      <c r="A74" s="272" t="s">
        <v>911</v>
      </c>
      <c r="B74" s="147" t="s">
        <v>912</v>
      </c>
      <c r="C74" s="260">
        <v>927</v>
      </c>
      <c r="D74" s="274" t="s">
        <v>807</v>
      </c>
      <c r="E74" s="281" t="s">
        <v>1216</v>
      </c>
      <c r="F74" s="434"/>
      <c r="G74" s="435"/>
      <c r="H74" s="435"/>
      <c r="I74" s="447"/>
      <c r="J74" s="275"/>
      <c r="K74" s="275"/>
      <c r="L74" s="275"/>
    </row>
  </sheetData>
  <mergeCells count="7">
    <mergeCell ref="B3:J4"/>
    <mergeCell ref="A6:A7"/>
    <mergeCell ref="B6:B7"/>
    <mergeCell ref="C6:E6"/>
    <mergeCell ref="F6:H6"/>
    <mergeCell ref="I6:I7"/>
    <mergeCell ref="J6:L6"/>
  </mergeCells>
  <pageMargins left="0.11811023622047245" right="0.11811023622047245" top="0" bottom="0"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V84"/>
  <sheetViews>
    <sheetView topLeftCell="A79" zoomScale="80" zoomScaleNormal="80" workbookViewId="0">
      <selection activeCell="N81" sqref="N81"/>
    </sheetView>
  </sheetViews>
  <sheetFormatPr defaultRowHeight="15"/>
  <cols>
    <col min="2" max="2" width="35.140625" customWidth="1"/>
    <col min="3" max="3" width="12.28515625" customWidth="1"/>
    <col min="5" max="5" width="14.5703125" customWidth="1"/>
    <col min="6" max="11" width="0" hidden="1" customWidth="1"/>
    <col min="12" max="13" width="10.5703125" customWidth="1"/>
    <col min="14" max="14" width="10.42578125" customWidth="1"/>
    <col min="15" max="17" width="0" hidden="1" customWidth="1"/>
    <col min="18" max="18" width="16.85546875" hidden="1" customWidth="1"/>
    <col min="19" max="19" width="26.7109375" style="436" customWidth="1"/>
    <col min="20" max="20" width="10.42578125" customWidth="1"/>
    <col min="21" max="21" width="11.28515625" customWidth="1"/>
    <col min="22" max="22" width="10.7109375" customWidth="1"/>
  </cols>
  <sheetData>
    <row r="1" spans="1:22" ht="15" customHeight="1">
      <c r="T1" s="911" t="s">
        <v>1490</v>
      </c>
      <c r="U1" s="911"/>
      <c r="V1" s="911"/>
    </row>
    <row r="2" spans="1:22">
      <c r="T2" s="911"/>
      <c r="U2" s="911"/>
      <c r="V2" s="911"/>
    </row>
    <row r="4" spans="1:22">
      <c r="A4" s="912" t="s">
        <v>686</v>
      </c>
      <c r="B4" s="912"/>
      <c r="C4" s="912"/>
      <c r="D4" s="912"/>
      <c r="E4" s="912"/>
      <c r="F4" s="912"/>
      <c r="G4" s="912"/>
      <c r="H4" s="912"/>
      <c r="I4" s="912"/>
      <c r="J4" s="912"/>
      <c r="K4" s="912"/>
      <c r="L4" s="912"/>
      <c r="M4" s="912"/>
      <c r="N4" s="912"/>
      <c r="O4" s="912"/>
      <c r="P4" s="912"/>
      <c r="Q4" s="912"/>
      <c r="R4" s="912"/>
      <c r="S4" s="912"/>
      <c r="T4" s="912"/>
      <c r="U4" s="912"/>
      <c r="V4" s="912"/>
    </row>
    <row r="5" spans="1:22">
      <c r="A5" s="913" t="s">
        <v>685</v>
      </c>
      <c r="B5" s="913"/>
      <c r="C5" s="913"/>
      <c r="D5" s="913"/>
      <c r="E5" s="913"/>
      <c r="F5" s="913"/>
      <c r="G5" s="913"/>
      <c r="H5" s="913"/>
      <c r="I5" s="913"/>
      <c r="J5" s="913"/>
      <c r="K5" s="913"/>
      <c r="L5" s="913"/>
      <c r="M5" s="913"/>
      <c r="N5" s="913"/>
      <c r="O5" s="913"/>
      <c r="P5" s="913"/>
      <c r="Q5" s="913"/>
      <c r="R5" s="913"/>
      <c r="S5" s="913"/>
      <c r="T5" s="913"/>
      <c r="U5" s="913"/>
      <c r="V5" s="913"/>
    </row>
    <row r="6" spans="1:22">
      <c r="A6" s="352"/>
      <c r="B6" s="352"/>
      <c r="C6" s="352"/>
      <c r="D6" s="352"/>
      <c r="E6" s="352"/>
      <c r="F6" s="352"/>
      <c r="G6" s="352"/>
      <c r="H6" s="352"/>
      <c r="I6" s="352"/>
      <c r="J6" s="352"/>
      <c r="K6" s="352"/>
      <c r="L6" s="352"/>
      <c r="M6" s="352"/>
      <c r="N6" s="352"/>
      <c r="O6" s="352"/>
      <c r="P6" s="352"/>
      <c r="Q6" s="352"/>
      <c r="R6" s="352"/>
      <c r="S6" s="437"/>
      <c r="T6" s="230"/>
      <c r="U6" s="230"/>
      <c r="V6" s="230"/>
    </row>
    <row r="7" spans="1:22">
      <c r="A7" s="352"/>
      <c r="B7" s="352"/>
      <c r="C7" s="352"/>
      <c r="D7" s="352"/>
      <c r="E7" s="352"/>
      <c r="F7" s="352"/>
      <c r="G7" s="352"/>
      <c r="H7" s="352"/>
      <c r="I7" s="352"/>
      <c r="J7" s="352"/>
      <c r="K7" s="352"/>
      <c r="L7" s="352"/>
      <c r="M7" s="352"/>
      <c r="N7" s="352"/>
      <c r="O7" s="352"/>
      <c r="P7" s="352"/>
      <c r="Q7" s="352"/>
      <c r="R7" s="352"/>
      <c r="S7" s="437"/>
      <c r="T7" s="230"/>
      <c r="U7" s="230"/>
      <c r="V7" s="230"/>
    </row>
    <row r="8" spans="1:22" ht="41.25" customHeight="1">
      <c r="A8" s="914" t="s">
        <v>16</v>
      </c>
      <c r="B8" s="891" t="s">
        <v>687</v>
      </c>
      <c r="C8" s="889" t="s">
        <v>3</v>
      </c>
      <c r="D8" s="889" t="s">
        <v>243</v>
      </c>
      <c r="E8" s="889" t="s">
        <v>242</v>
      </c>
      <c r="F8" s="898" t="s">
        <v>688</v>
      </c>
      <c r="G8" s="898"/>
      <c r="H8" s="898"/>
      <c r="I8" s="898" t="s">
        <v>689</v>
      </c>
      <c r="J8" s="898"/>
      <c r="K8" s="898"/>
      <c r="L8" s="898" t="s">
        <v>690</v>
      </c>
      <c r="M8" s="898"/>
      <c r="N8" s="898"/>
      <c r="O8" s="900" t="s">
        <v>691</v>
      </c>
      <c r="P8" s="900"/>
      <c r="Q8" s="900"/>
      <c r="R8" s="899" t="s">
        <v>484</v>
      </c>
      <c r="S8" s="916" t="s">
        <v>1</v>
      </c>
      <c r="T8" s="917" t="s">
        <v>2</v>
      </c>
      <c r="U8" s="917"/>
      <c r="V8" s="917"/>
    </row>
    <row r="9" spans="1:22" ht="36.75" customHeight="1">
      <c r="A9" s="915"/>
      <c r="B9" s="892"/>
      <c r="C9" s="890"/>
      <c r="D9" s="890"/>
      <c r="E9" s="890"/>
      <c r="F9" s="137">
        <v>2020</v>
      </c>
      <c r="G9" s="137">
        <v>2021</v>
      </c>
      <c r="H9" s="137">
        <v>2022</v>
      </c>
      <c r="I9" s="137">
        <v>2020</v>
      </c>
      <c r="J9" s="137">
        <v>2021</v>
      </c>
      <c r="K9" s="137">
        <v>2022</v>
      </c>
      <c r="L9" s="137">
        <v>2020</v>
      </c>
      <c r="M9" s="137">
        <v>2021</v>
      </c>
      <c r="N9" s="137">
        <v>2022</v>
      </c>
      <c r="O9" s="137">
        <v>2020</v>
      </c>
      <c r="P9" s="137">
        <v>2021</v>
      </c>
      <c r="Q9" s="137">
        <v>2022</v>
      </c>
      <c r="R9" s="900"/>
      <c r="S9" s="916"/>
      <c r="T9" s="231">
        <v>2020</v>
      </c>
      <c r="U9" s="231">
        <v>2021</v>
      </c>
      <c r="V9" s="231">
        <v>2022</v>
      </c>
    </row>
    <row r="10" spans="1:22">
      <c r="A10" s="29">
        <v>1</v>
      </c>
      <c r="B10" s="137">
        <v>2</v>
      </c>
      <c r="C10" s="137">
        <v>3</v>
      </c>
      <c r="D10" s="137">
        <v>4</v>
      </c>
      <c r="E10" s="136">
        <v>5</v>
      </c>
      <c r="F10" s="136">
        <v>7</v>
      </c>
      <c r="G10" s="136">
        <v>8</v>
      </c>
      <c r="H10" s="136">
        <v>9</v>
      </c>
      <c r="I10" s="136">
        <v>10</v>
      </c>
      <c r="J10" s="136">
        <v>11</v>
      </c>
      <c r="K10" s="136">
        <v>12</v>
      </c>
      <c r="L10" s="137">
        <v>6</v>
      </c>
      <c r="M10" s="137">
        <v>7</v>
      </c>
      <c r="N10" s="137">
        <v>8</v>
      </c>
      <c r="O10" s="137" t="s">
        <v>692</v>
      </c>
      <c r="P10" s="137" t="s">
        <v>693</v>
      </c>
      <c r="Q10" s="137" t="s">
        <v>694</v>
      </c>
      <c r="R10" s="136">
        <v>16</v>
      </c>
      <c r="S10" s="438">
        <v>9</v>
      </c>
      <c r="T10" s="232">
        <v>10</v>
      </c>
      <c r="U10" s="232">
        <v>11</v>
      </c>
      <c r="V10" s="232">
        <v>12</v>
      </c>
    </row>
    <row r="11" spans="1:22" ht="36" customHeight="1">
      <c r="A11" s="233"/>
      <c r="B11" s="234" t="s">
        <v>607</v>
      </c>
      <c r="C11" s="233"/>
      <c r="D11" s="233"/>
      <c r="E11" s="233"/>
      <c r="F11" s="235" t="e">
        <f t="shared" ref="F11:R11" si="0">F12+F28+F79+F72</f>
        <v>#REF!</v>
      </c>
      <c r="G11" s="235" t="e">
        <f t="shared" si="0"/>
        <v>#REF!</v>
      </c>
      <c r="H11" s="235" t="e">
        <f t="shared" si="0"/>
        <v>#REF!</v>
      </c>
      <c r="I11" s="236" t="e">
        <f t="shared" si="0"/>
        <v>#REF!</v>
      </c>
      <c r="J11" s="236" t="e">
        <f t="shared" si="0"/>
        <v>#REF!</v>
      </c>
      <c r="K11" s="236" t="e">
        <f t="shared" si="0"/>
        <v>#REF!</v>
      </c>
      <c r="L11" s="236">
        <f t="shared" si="0"/>
        <v>88248.6</v>
      </c>
      <c r="M11" s="236">
        <f t="shared" si="0"/>
        <v>82245.7</v>
      </c>
      <c r="N11" s="236">
        <f t="shared" si="0"/>
        <v>182264.2</v>
      </c>
      <c r="O11" s="236" t="e">
        <f t="shared" si="0"/>
        <v>#REF!</v>
      </c>
      <c r="P11" s="236" t="e">
        <f t="shared" si="0"/>
        <v>#REF!</v>
      </c>
      <c r="Q11" s="236" t="e">
        <f t="shared" si="0"/>
        <v>#REF!</v>
      </c>
      <c r="R11" s="236">
        <f t="shared" si="0"/>
        <v>0</v>
      </c>
      <c r="S11" s="439"/>
      <c r="T11" s="237"/>
      <c r="U11" s="237"/>
      <c r="V11" s="237"/>
    </row>
    <row r="12" spans="1:22" ht="35.25" customHeight="1">
      <c r="A12" s="233" t="s">
        <v>695</v>
      </c>
      <c r="B12" s="238" t="s">
        <v>696</v>
      </c>
      <c r="C12" s="239"/>
      <c r="D12" s="239"/>
      <c r="E12" s="233" t="s">
        <v>697</v>
      </c>
      <c r="F12" s="146">
        <f>F13</f>
        <v>4069.1</v>
      </c>
      <c r="G12" s="146">
        <f>G13</f>
        <v>4069.1</v>
      </c>
      <c r="H12" s="146">
        <f>H13</f>
        <v>4069.1</v>
      </c>
      <c r="I12" s="236">
        <f t="shared" ref="I12:K12" si="1">I13</f>
        <v>7424.5</v>
      </c>
      <c r="J12" s="236">
        <f t="shared" si="1"/>
        <v>2131.6</v>
      </c>
      <c r="K12" s="236">
        <f t="shared" si="1"/>
        <v>4589.5</v>
      </c>
      <c r="L12" s="236">
        <f>L13+L25</f>
        <v>31132.400000000001</v>
      </c>
      <c r="M12" s="236">
        <f>M13+M25</f>
        <v>29667.4</v>
      </c>
      <c r="N12" s="236">
        <f>N13+N25</f>
        <v>123599.29999999999</v>
      </c>
      <c r="O12" s="240">
        <f t="shared" ref="O12:Q29" si="2">L12-F12</f>
        <v>27063.300000000003</v>
      </c>
      <c r="P12" s="240">
        <f t="shared" si="2"/>
        <v>25598.300000000003</v>
      </c>
      <c r="Q12" s="240">
        <f t="shared" si="2"/>
        <v>119530.19999999998</v>
      </c>
      <c r="R12" s="78"/>
      <c r="S12" s="440"/>
      <c r="T12" s="241"/>
      <c r="U12" s="241"/>
      <c r="V12" s="241"/>
    </row>
    <row r="13" spans="1:22" ht="30" customHeight="1">
      <c r="A13" s="242" t="s">
        <v>191</v>
      </c>
      <c r="B13" s="243" t="s">
        <v>698</v>
      </c>
      <c r="C13" s="244"/>
      <c r="D13" s="244"/>
      <c r="E13" s="242" t="s">
        <v>699</v>
      </c>
      <c r="F13" s="245">
        <f>SUM(F14:F19)</f>
        <v>4069.1</v>
      </c>
      <c r="G13" s="245">
        <f>SUM(G14:G19)</f>
        <v>4069.1</v>
      </c>
      <c r="H13" s="245">
        <f>SUM(H14:H19)</f>
        <v>4069.1</v>
      </c>
      <c r="I13" s="246">
        <f t="shared" ref="I13:N13" si="3">I14+I16+I17+I18+I20+I21+I22+I23+I24</f>
        <v>7424.5</v>
      </c>
      <c r="J13" s="246">
        <f t="shared" si="3"/>
        <v>2131.6</v>
      </c>
      <c r="K13" s="246">
        <f t="shared" si="3"/>
        <v>4589.5</v>
      </c>
      <c r="L13" s="246">
        <f>L14+L15+L16+L17+L18+L20+L21+L22+L23+L24</f>
        <v>15569.400000000001</v>
      </c>
      <c r="M13" s="246">
        <f t="shared" si="3"/>
        <v>7276.1</v>
      </c>
      <c r="N13" s="246">
        <f t="shared" si="3"/>
        <v>11716.2</v>
      </c>
      <c r="O13" s="240">
        <f t="shared" si="2"/>
        <v>11500.300000000001</v>
      </c>
      <c r="P13" s="240">
        <f t="shared" si="2"/>
        <v>3207.0000000000005</v>
      </c>
      <c r="Q13" s="240">
        <f t="shared" si="2"/>
        <v>7647.1</v>
      </c>
      <c r="R13" s="247"/>
      <c r="S13" s="440"/>
      <c r="T13" s="248"/>
      <c r="U13" s="248"/>
      <c r="V13" s="248"/>
    </row>
    <row r="14" spans="1:22" ht="33.75">
      <c r="A14" s="239" t="s">
        <v>186</v>
      </c>
      <c r="B14" s="249" t="s">
        <v>700</v>
      </c>
      <c r="C14" s="239" t="s">
        <v>943</v>
      </c>
      <c r="D14" s="239" t="s">
        <v>70</v>
      </c>
      <c r="E14" s="239" t="s">
        <v>1103</v>
      </c>
      <c r="F14" s="158">
        <v>2229.6</v>
      </c>
      <c r="G14" s="158">
        <v>2229.6</v>
      </c>
      <c r="H14" s="158">
        <v>2229.6</v>
      </c>
      <c r="I14" s="240">
        <v>3780.4</v>
      </c>
      <c r="J14" s="240"/>
      <c r="K14" s="240"/>
      <c r="L14" s="158">
        <v>232.5</v>
      </c>
      <c r="M14" s="158">
        <v>2118.1</v>
      </c>
      <c r="N14" s="158">
        <v>2028.9</v>
      </c>
      <c r="O14" s="240">
        <f t="shared" si="2"/>
        <v>-1997.1</v>
      </c>
      <c r="P14" s="240">
        <f t="shared" si="2"/>
        <v>-111.5</v>
      </c>
      <c r="Q14" s="240">
        <f t="shared" si="2"/>
        <v>-200.69999999999982</v>
      </c>
      <c r="R14" s="247"/>
      <c r="S14" s="441" t="s">
        <v>701</v>
      </c>
      <c r="T14" s="251">
        <v>3</v>
      </c>
      <c r="U14" s="251">
        <v>3</v>
      </c>
      <c r="V14" s="251">
        <v>3</v>
      </c>
    </row>
    <row r="15" spans="1:22" ht="59.25" customHeight="1">
      <c r="A15" s="239" t="s">
        <v>192</v>
      </c>
      <c r="B15" s="249" t="s">
        <v>1104</v>
      </c>
      <c r="C15" s="239" t="s">
        <v>943</v>
      </c>
      <c r="D15" s="239" t="s">
        <v>70</v>
      </c>
      <c r="E15" s="239" t="s">
        <v>1106</v>
      </c>
      <c r="F15" s="158"/>
      <c r="G15" s="158"/>
      <c r="H15" s="158"/>
      <c r="I15" s="240"/>
      <c r="J15" s="240"/>
      <c r="K15" s="240"/>
      <c r="L15" s="158">
        <v>6967.5</v>
      </c>
      <c r="M15" s="158"/>
      <c r="N15" s="158"/>
      <c r="O15" s="240"/>
      <c r="P15" s="240"/>
      <c r="Q15" s="240"/>
      <c r="R15" s="247"/>
      <c r="S15" s="441"/>
      <c r="T15" s="251"/>
      <c r="U15" s="251"/>
      <c r="V15" s="251"/>
    </row>
    <row r="16" spans="1:22" ht="33.75" customHeight="1">
      <c r="A16" s="239" t="s">
        <v>226</v>
      </c>
      <c r="B16" s="249" t="s">
        <v>702</v>
      </c>
      <c r="C16" s="239" t="s">
        <v>943</v>
      </c>
      <c r="D16" s="239" t="s">
        <v>70</v>
      </c>
      <c r="E16" s="239" t="s">
        <v>1107</v>
      </c>
      <c r="F16" s="250">
        <v>1839.5</v>
      </c>
      <c r="G16" s="250">
        <v>1839.5</v>
      </c>
      <c r="H16" s="250">
        <v>1839.5</v>
      </c>
      <c r="I16" s="240">
        <v>-117.9</v>
      </c>
      <c r="J16" s="240">
        <v>-122.6</v>
      </c>
      <c r="K16" s="240">
        <v>-127.2</v>
      </c>
      <c r="L16" s="158">
        <f>F16+I16</f>
        <v>1721.6</v>
      </c>
      <c r="M16" s="158">
        <v>1631.1</v>
      </c>
      <c r="N16" s="158">
        <v>1558.2</v>
      </c>
      <c r="O16" s="240">
        <f t="shared" si="2"/>
        <v>-117.90000000000009</v>
      </c>
      <c r="P16" s="240">
        <f t="shared" si="2"/>
        <v>-208.40000000000009</v>
      </c>
      <c r="Q16" s="240">
        <f t="shared" si="2"/>
        <v>-281.29999999999995</v>
      </c>
      <c r="R16" s="247"/>
      <c r="S16" s="441" t="s">
        <v>703</v>
      </c>
      <c r="T16" s="248">
        <v>54</v>
      </c>
      <c r="U16" s="248">
        <v>55</v>
      </c>
      <c r="V16" s="248">
        <v>56</v>
      </c>
    </row>
    <row r="17" spans="1:22" ht="62.25" customHeight="1">
      <c r="A17" s="239" t="s">
        <v>229</v>
      </c>
      <c r="B17" s="249" t="s">
        <v>704</v>
      </c>
      <c r="C17" s="239" t="s">
        <v>943</v>
      </c>
      <c r="D17" s="239" t="s">
        <v>70</v>
      </c>
      <c r="E17" s="239" t="s">
        <v>1108</v>
      </c>
      <c r="F17" s="158"/>
      <c r="G17" s="158"/>
      <c r="H17" s="158"/>
      <c r="I17" s="240">
        <v>320</v>
      </c>
      <c r="J17" s="240">
        <v>320</v>
      </c>
      <c r="K17" s="240">
        <v>320</v>
      </c>
      <c r="L17" s="158">
        <f>F17+I17</f>
        <v>320</v>
      </c>
      <c r="M17" s="158">
        <v>304</v>
      </c>
      <c r="N17" s="158">
        <v>291.2</v>
      </c>
      <c r="O17" s="240">
        <f t="shared" si="2"/>
        <v>320</v>
      </c>
      <c r="P17" s="240">
        <f t="shared" si="2"/>
        <v>304</v>
      </c>
      <c r="Q17" s="240">
        <f t="shared" si="2"/>
        <v>291.2</v>
      </c>
      <c r="R17" s="247" t="s">
        <v>705</v>
      </c>
      <c r="S17" s="441" t="s">
        <v>703</v>
      </c>
      <c r="T17" s="248">
        <v>54</v>
      </c>
      <c r="U17" s="248">
        <v>55</v>
      </c>
      <c r="V17" s="248">
        <v>56</v>
      </c>
    </row>
    <row r="18" spans="1:22" ht="97.5" customHeight="1">
      <c r="A18" s="239" t="s">
        <v>711</v>
      </c>
      <c r="B18" s="249" t="s">
        <v>706</v>
      </c>
      <c r="C18" s="239"/>
      <c r="D18" s="239"/>
      <c r="E18" s="239" t="s">
        <v>707</v>
      </c>
      <c r="F18" s="158"/>
      <c r="G18" s="158"/>
      <c r="H18" s="158"/>
      <c r="I18" s="240">
        <f t="shared" ref="I18:N18" si="4">I19</f>
        <v>962</v>
      </c>
      <c r="J18" s="240">
        <f t="shared" si="4"/>
        <v>454.2</v>
      </c>
      <c r="K18" s="240">
        <f t="shared" si="4"/>
        <v>1241.7</v>
      </c>
      <c r="L18" s="240">
        <f t="shared" si="4"/>
        <v>3847.8</v>
      </c>
      <c r="M18" s="240">
        <f t="shared" si="4"/>
        <v>1816.9</v>
      </c>
      <c r="N18" s="240">
        <f t="shared" si="4"/>
        <v>4966.8</v>
      </c>
      <c r="O18" s="240">
        <f t="shared" si="2"/>
        <v>3847.8</v>
      </c>
      <c r="P18" s="240">
        <f t="shared" si="2"/>
        <v>1816.9</v>
      </c>
      <c r="Q18" s="240">
        <f t="shared" si="2"/>
        <v>4966.8</v>
      </c>
      <c r="R18" s="247"/>
      <c r="S18" s="441" t="s">
        <v>708</v>
      </c>
      <c r="T18" s="248">
        <v>100</v>
      </c>
      <c r="U18" s="248">
        <v>100</v>
      </c>
      <c r="V18" s="248">
        <v>100</v>
      </c>
    </row>
    <row r="19" spans="1:22" ht="38.25">
      <c r="A19" s="239"/>
      <c r="B19" s="249" t="s">
        <v>709</v>
      </c>
      <c r="C19" s="239" t="s">
        <v>943</v>
      </c>
      <c r="D19" s="239" t="s">
        <v>70</v>
      </c>
      <c r="E19" s="239" t="s">
        <v>707</v>
      </c>
      <c r="F19" s="158"/>
      <c r="G19" s="158"/>
      <c r="H19" s="158"/>
      <c r="I19" s="240">
        <v>962</v>
      </c>
      <c r="J19" s="240">
        <v>454.2</v>
      </c>
      <c r="K19" s="240">
        <v>1241.7</v>
      </c>
      <c r="L19" s="158">
        <f>(F19+I19)+2885.8</f>
        <v>3847.8</v>
      </c>
      <c r="M19" s="158">
        <f>G19+J19+1362.7</f>
        <v>1816.9</v>
      </c>
      <c r="N19" s="158">
        <f>H19+K19+3725.1</f>
        <v>4966.8</v>
      </c>
      <c r="O19" s="240">
        <f t="shared" si="2"/>
        <v>3847.8</v>
      </c>
      <c r="P19" s="240">
        <f t="shared" si="2"/>
        <v>1816.9</v>
      </c>
      <c r="Q19" s="240">
        <f t="shared" si="2"/>
        <v>4966.8</v>
      </c>
      <c r="R19" s="247" t="s">
        <v>710</v>
      </c>
      <c r="S19" s="441" t="s">
        <v>708</v>
      </c>
      <c r="T19" s="248">
        <v>100</v>
      </c>
      <c r="U19" s="248">
        <v>100</v>
      </c>
      <c r="V19" s="248">
        <v>100</v>
      </c>
    </row>
    <row r="20" spans="1:22" ht="38.25">
      <c r="A20" s="239" t="s">
        <v>713</v>
      </c>
      <c r="B20" s="249" t="s">
        <v>712</v>
      </c>
      <c r="C20" s="239" t="s">
        <v>943</v>
      </c>
      <c r="D20" s="239" t="s">
        <v>70</v>
      </c>
      <c r="E20" s="239" t="s">
        <v>1109</v>
      </c>
      <c r="F20" s="158"/>
      <c r="G20" s="158"/>
      <c r="H20" s="158"/>
      <c r="I20" s="240">
        <v>0</v>
      </c>
      <c r="J20" s="240">
        <v>130</v>
      </c>
      <c r="K20" s="240">
        <v>1005</v>
      </c>
      <c r="L20" s="158">
        <v>0</v>
      </c>
      <c r="M20" s="158">
        <v>123.5</v>
      </c>
      <c r="N20" s="158">
        <v>914.6</v>
      </c>
      <c r="O20" s="240">
        <f t="shared" si="2"/>
        <v>0</v>
      </c>
      <c r="P20" s="240">
        <f t="shared" si="2"/>
        <v>123.5</v>
      </c>
      <c r="Q20" s="240">
        <f t="shared" si="2"/>
        <v>914.6</v>
      </c>
      <c r="R20" s="247"/>
      <c r="S20" s="441" t="s">
        <v>708</v>
      </c>
      <c r="T20" s="248">
        <v>100</v>
      </c>
      <c r="U20" s="248">
        <v>100</v>
      </c>
      <c r="V20" s="248">
        <v>100</v>
      </c>
    </row>
    <row r="21" spans="1:22" ht="66" customHeight="1">
      <c r="A21" s="239" t="s">
        <v>716</v>
      </c>
      <c r="B21" s="249" t="s">
        <v>714</v>
      </c>
      <c r="C21" s="239" t="s">
        <v>943</v>
      </c>
      <c r="D21" s="239" t="s">
        <v>70</v>
      </c>
      <c r="E21" s="239" t="s">
        <v>1110</v>
      </c>
      <c r="F21" s="158"/>
      <c r="G21" s="158"/>
      <c r="H21" s="158"/>
      <c r="I21" s="240">
        <v>1800</v>
      </c>
      <c r="J21" s="240"/>
      <c r="K21" s="240"/>
      <c r="L21" s="158">
        <f>F21+I21</f>
        <v>1800</v>
      </c>
      <c r="M21" s="158">
        <v>0</v>
      </c>
      <c r="N21" s="158">
        <v>0</v>
      </c>
      <c r="O21" s="240">
        <f t="shared" si="2"/>
        <v>1800</v>
      </c>
      <c r="P21" s="240"/>
      <c r="Q21" s="240"/>
      <c r="R21" s="247"/>
      <c r="S21" s="441" t="s">
        <v>715</v>
      </c>
      <c r="T21" s="248">
        <v>35</v>
      </c>
      <c r="U21" s="248">
        <v>33</v>
      </c>
      <c r="V21" s="248">
        <v>27</v>
      </c>
    </row>
    <row r="22" spans="1:22" ht="40.5" customHeight="1">
      <c r="A22" s="239" t="s">
        <v>717</v>
      </c>
      <c r="B22" s="249" t="s">
        <v>1094</v>
      </c>
      <c r="C22" s="239" t="s">
        <v>943</v>
      </c>
      <c r="D22" s="239" t="s">
        <v>70</v>
      </c>
      <c r="E22" s="239" t="s">
        <v>1111</v>
      </c>
      <c r="F22" s="158"/>
      <c r="G22" s="158"/>
      <c r="H22" s="158"/>
      <c r="I22" s="240">
        <v>80</v>
      </c>
      <c r="J22" s="240"/>
      <c r="K22" s="240"/>
      <c r="L22" s="158">
        <f>F22+I22</f>
        <v>80</v>
      </c>
      <c r="M22" s="158">
        <v>0</v>
      </c>
      <c r="N22" s="158">
        <v>0</v>
      </c>
      <c r="O22" s="240">
        <f t="shared" si="2"/>
        <v>80</v>
      </c>
      <c r="P22" s="240">
        <f t="shared" si="2"/>
        <v>0</v>
      </c>
      <c r="Q22" s="240">
        <f t="shared" si="2"/>
        <v>0</v>
      </c>
      <c r="R22" s="247"/>
      <c r="S22" s="441" t="s">
        <v>703</v>
      </c>
      <c r="T22" s="248">
        <v>54</v>
      </c>
      <c r="U22" s="248">
        <v>55</v>
      </c>
      <c r="V22" s="248">
        <v>56</v>
      </c>
    </row>
    <row r="23" spans="1:22" ht="65.25" customHeight="1">
      <c r="A23" s="239" t="s">
        <v>719</v>
      </c>
      <c r="B23" s="249" t="s">
        <v>718</v>
      </c>
      <c r="C23" s="239" t="s">
        <v>943</v>
      </c>
      <c r="D23" s="239" t="s">
        <v>70</v>
      </c>
      <c r="E23" s="239" t="s">
        <v>1112</v>
      </c>
      <c r="F23" s="158"/>
      <c r="G23" s="158"/>
      <c r="H23" s="158"/>
      <c r="I23" s="240">
        <v>100</v>
      </c>
      <c r="J23" s="240">
        <v>150</v>
      </c>
      <c r="K23" s="240">
        <v>150</v>
      </c>
      <c r="L23" s="158">
        <f>F23+I23</f>
        <v>100</v>
      </c>
      <c r="M23" s="158">
        <v>142.5</v>
      </c>
      <c r="N23" s="158">
        <v>136.5</v>
      </c>
      <c r="O23" s="240"/>
      <c r="P23" s="240"/>
      <c r="Q23" s="240"/>
      <c r="R23" s="247"/>
      <c r="S23" s="441" t="s">
        <v>715</v>
      </c>
      <c r="T23" s="248">
        <v>35</v>
      </c>
      <c r="U23" s="248">
        <v>33</v>
      </c>
      <c r="V23" s="248">
        <v>27</v>
      </c>
    </row>
    <row r="24" spans="1:22" ht="57.75" customHeight="1">
      <c r="A24" s="239" t="s">
        <v>1105</v>
      </c>
      <c r="B24" s="249" t="s">
        <v>720</v>
      </c>
      <c r="C24" s="239" t="s">
        <v>943</v>
      </c>
      <c r="D24" s="239" t="s">
        <v>70</v>
      </c>
      <c r="E24" s="239" t="s">
        <v>1113</v>
      </c>
      <c r="F24" s="158"/>
      <c r="G24" s="158"/>
      <c r="H24" s="158"/>
      <c r="I24" s="240">
        <v>500</v>
      </c>
      <c r="J24" s="240">
        <v>1200</v>
      </c>
      <c r="K24" s="240">
        <v>2000</v>
      </c>
      <c r="L24" s="158">
        <f>F24+I24</f>
        <v>500</v>
      </c>
      <c r="M24" s="158">
        <v>1140</v>
      </c>
      <c r="N24" s="158">
        <v>1820</v>
      </c>
      <c r="O24" s="240"/>
      <c r="P24" s="240"/>
      <c r="Q24" s="240"/>
      <c r="R24" s="247"/>
      <c r="S24" s="441" t="s">
        <v>715</v>
      </c>
      <c r="T24" s="248">
        <v>35</v>
      </c>
      <c r="U24" s="248">
        <v>33</v>
      </c>
      <c r="V24" s="248">
        <v>27</v>
      </c>
    </row>
    <row r="25" spans="1:22" ht="71.25" customHeight="1">
      <c r="A25" s="242" t="s">
        <v>24</v>
      </c>
      <c r="B25" s="243" t="s">
        <v>1234</v>
      </c>
      <c r="C25" s="239"/>
      <c r="D25" s="239"/>
      <c r="E25" s="233" t="s">
        <v>1237</v>
      </c>
      <c r="F25" s="158"/>
      <c r="G25" s="158"/>
      <c r="H25" s="158"/>
      <c r="I25" s="240"/>
      <c r="J25" s="240"/>
      <c r="K25" s="240"/>
      <c r="L25" s="146">
        <f>L26+L27</f>
        <v>15563</v>
      </c>
      <c r="M25" s="146">
        <f t="shared" ref="M25:N25" si="5">M26+M27</f>
        <v>22391.3</v>
      </c>
      <c r="N25" s="146">
        <f t="shared" si="5"/>
        <v>111883.09999999999</v>
      </c>
      <c r="O25" s="240"/>
      <c r="P25" s="240"/>
      <c r="Q25" s="240"/>
      <c r="R25" s="247"/>
      <c r="S25" s="441"/>
      <c r="T25" s="248"/>
      <c r="U25" s="248"/>
      <c r="V25" s="248"/>
    </row>
    <row r="26" spans="1:22" ht="57.75" customHeight="1">
      <c r="A26" s="239" t="s">
        <v>193</v>
      </c>
      <c r="B26" s="249" t="s">
        <v>1235</v>
      </c>
      <c r="C26" s="239" t="s">
        <v>943</v>
      </c>
      <c r="D26" s="239" t="s">
        <v>70</v>
      </c>
      <c r="E26" s="148" t="s">
        <v>1542</v>
      </c>
      <c r="F26" s="158"/>
      <c r="G26" s="158"/>
      <c r="H26" s="158"/>
      <c r="I26" s="240"/>
      <c r="J26" s="240"/>
      <c r="K26" s="240"/>
      <c r="L26" s="158">
        <v>14474.7</v>
      </c>
      <c r="M26" s="158">
        <v>21271.7</v>
      </c>
      <c r="N26" s="158">
        <v>106288.9</v>
      </c>
      <c r="O26" s="240"/>
      <c r="P26" s="240"/>
      <c r="Q26" s="240"/>
      <c r="R26" s="247"/>
      <c r="S26" s="441" t="s">
        <v>1238</v>
      </c>
      <c r="T26" s="248">
        <v>52</v>
      </c>
      <c r="U26" s="248">
        <v>29</v>
      </c>
      <c r="V26" s="248">
        <v>136</v>
      </c>
    </row>
    <row r="27" spans="1:22" ht="64.5" customHeight="1">
      <c r="A27" s="239" t="s">
        <v>234</v>
      </c>
      <c r="B27" s="249" t="s">
        <v>1236</v>
      </c>
      <c r="C27" s="239" t="s">
        <v>943</v>
      </c>
      <c r="D27" s="239" t="s">
        <v>70</v>
      </c>
      <c r="E27" s="148" t="s">
        <v>1543</v>
      </c>
      <c r="F27" s="158"/>
      <c r="G27" s="158"/>
      <c r="H27" s="158"/>
      <c r="I27" s="240"/>
      <c r="J27" s="240"/>
      <c r="K27" s="240"/>
      <c r="L27" s="158">
        <v>1088.3</v>
      </c>
      <c r="M27" s="158">
        <v>1119.5999999999999</v>
      </c>
      <c r="N27" s="158">
        <v>5594.2</v>
      </c>
      <c r="O27" s="240"/>
      <c r="P27" s="240"/>
      <c r="Q27" s="240"/>
      <c r="R27" s="247"/>
      <c r="S27" s="441" t="s">
        <v>1238</v>
      </c>
      <c r="T27" s="248">
        <v>52</v>
      </c>
      <c r="U27" s="248">
        <v>29</v>
      </c>
      <c r="V27" s="248">
        <v>136</v>
      </c>
    </row>
    <row r="28" spans="1:22" ht="53.25" customHeight="1">
      <c r="A28" s="239" t="s">
        <v>38</v>
      </c>
      <c r="B28" s="234" t="s">
        <v>721</v>
      </c>
      <c r="C28" s="233"/>
      <c r="D28" s="233"/>
      <c r="E28" s="233" t="s">
        <v>174</v>
      </c>
      <c r="F28" s="146" t="e">
        <f t="shared" ref="F28:N28" si="6">F29+F45+F56+F65</f>
        <v>#REF!</v>
      </c>
      <c r="G28" s="146" t="e">
        <f t="shared" si="6"/>
        <v>#REF!</v>
      </c>
      <c r="H28" s="146" t="e">
        <f t="shared" si="6"/>
        <v>#REF!</v>
      </c>
      <c r="I28" s="236" t="e">
        <f t="shared" si="6"/>
        <v>#REF!</v>
      </c>
      <c r="J28" s="236" t="e">
        <f t="shared" si="6"/>
        <v>#REF!</v>
      </c>
      <c r="K28" s="236" t="e">
        <f t="shared" si="6"/>
        <v>#REF!</v>
      </c>
      <c r="L28" s="146">
        <f t="shared" si="6"/>
        <v>43135.7</v>
      </c>
      <c r="M28" s="146">
        <f t="shared" si="6"/>
        <v>44905</v>
      </c>
      <c r="N28" s="146">
        <f t="shared" si="6"/>
        <v>51312.200000000004</v>
      </c>
      <c r="O28" s="236" t="e">
        <f t="shared" si="2"/>
        <v>#REF!</v>
      </c>
      <c r="P28" s="240" t="e">
        <f t="shared" si="2"/>
        <v>#REF!</v>
      </c>
      <c r="Q28" s="236" t="e">
        <f t="shared" si="2"/>
        <v>#REF!</v>
      </c>
      <c r="R28" s="55"/>
      <c r="S28" s="441" t="s">
        <v>722</v>
      </c>
      <c r="T28" s="232">
        <v>67</v>
      </c>
      <c r="U28" s="232">
        <v>66</v>
      </c>
      <c r="V28" s="232">
        <v>65</v>
      </c>
    </row>
    <row r="29" spans="1:22" ht="40.5">
      <c r="A29" s="239" t="s">
        <v>195</v>
      </c>
      <c r="B29" s="243" t="s">
        <v>723</v>
      </c>
      <c r="C29" s="242"/>
      <c r="D29" s="242"/>
      <c r="E29" s="242" t="s">
        <v>175</v>
      </c>
      <c r="F29" s="245" t="e">
        <f t="shared" ref="F29:K29" si="7">F31+F36+F37+F38+F39+F40</f>
        <v>#REF!</v>
      </c>
      <c r="G29" s="245" t="e">
        <f t="shared" si="7"/>
        <v>#REF!</v>
      </c>
      <c r="H29" s="245" t="e">
        <f t="shared" si="7"/>
        <v>#REF!</v>
      </c>
      <c r="I29" s="245" t="e">
        <f t="shared" si="7"/>
        <v>#REF!</v>
      </c>
      <c r="J29" s="245" t="e">
        <f t="shared" si="7"/>
        <v>#REF!</v>
      </c>
      <c r="K29" s="245" t="e">
        <f t="shared" si="7"/>
        <v>#REF!</v>
      </c>
      <c r="L29" s="245">
        <f>L30+L31+L36+L37+L38+L39+L40+L42</f>
        <v>9020.2000000000007</v>
      </c>
      <c r="M29" s="245">
        <f>M31+M36+M37+M38+M39+M40+M30</f>
        <v>10995.1</v>
      </c>
      <c r="N29" s="245">
        <f>N31+N36+N37+N38+N39+N40</f>
        <v>10952</v>
      </c>
      <c r="O29" s="240" t="e">
        <f t="shared" si="2"/>
        <v>#REF!</v>
      </c>
      <c r="P29" s="240" t="e">
        <f t="shared" si="2"/>
        <v>#REF!</v>
      </c>
      <c r="Q29" s="240" t="e">
        <f t="shared" si="2"/>
        <v>#REF!</v>
      </c>
      <c r="R29" s="247"/>
      <c r="S29" s="441" t="s">
        <v>722</v>
      </c>
      <c r="T29" s="248">
        <v>67</v>
      </c>
      <c r="U29" s="248">
        <v>66</v>
      </c>
      <c r="V29" s="248">
        <v>65</v>
      </c>
    </row>
    <row r="30" spans="1:22" ht="52.5" customHeight="1">
      <c r="A30" s="239" t="s">
        <v>196</v>
      </c>
      <c r="B30" s="249" t="s">
        <v>726</v>
      </c>
      <c r="C30" s="239" t="s">
        <v>1589</v>
      </c>
      <c r="D30" s="239" t="s">
        <v>20</v>
      </c>
      <c r="E30" s="239" t="s">
        <v>1602</v>
      </c>
      <c r="F30" s="245"/>
      <c r="G30" s="245"/>
      <c r="H30" s="245"/>
      <c r="I30" s="245"/>
      <c r="J30" s="245"/>
      <c r="K30" s="245"/>
      <c r="L30" s="158">
        <v>1700</v>
      </c>
      <c r="M30" s="158">
        <v>294.60000000000002</v>
      </c>
      <c r="N30" s="245"/>
      <c r="O30" s="240"/>
      <c r="P30" s="240"/>
      <c r="Q30" s="240"/>
      <c r="R30" s="247"/>
      <c r="S30" s="441"/>
      <c r="T30" s="248"/>
      <c r="U30" s="248"/>
      <c r="V30" s="248"/>
    </row>
    <row r="31" spans="1:22" ht="59.25" customHeight="1">
      <c r="A31" s="239" t="s">
        <v>237</v>
      </c>
      <c r="B31" s="249" t="s">
        <v>724</v>
      </c>
      <c r="C31" s="239"/>
      <c r="D31" s="239"/>
      <c r="E31" s="239" t="s">
        <v>725</v>
      </c>
      <c r="F31" s="158" t="e">
        <f>#REF!</f>
        <v>#REF!</v>
      </c>
      <c r="G31" s="158" t="e">
        <f>#REF!</f>
        <v>#REF!</v>
      </c>
      <c r="H31" s="158" t="e">
        <f>#REF!</f>
        <v>#REF!</v>
      </c>
      <c r="I31" s="158" t="e">
        <f>#REF!</f>
        <v>#REF!</v>
      </c>
      <c r="J31" s="158" t="e">
        <f>#REF!</f>
        <v>#REF!</v>
      </c>
      <c r="K31" s="158" t="e">
        <f>#REF!</f>
        <v>#REF!</v>
      </c>
      <c r="L31" s="158">
        <f>L32+L33+L34+L35</f>
        <v>4500</v>
      </c>
      <c r="M31" s="158">
        <f t="shared" ref="M31:N31" si="8">M32+M33+M34+M35</f>
        <v>5905</v>
      </c>
      <c r="N31" s="158">
        <f t="shared" si="8"/>
        <v>9405</v>
      </c>
      <c r="O31" s="240"/>
      <c r="P31" s="240"/>
      <c r="Q31" s="240"/>
      <c r="R31" s="247"/>
      <c r="S31" s="441" t="s">
        <v>722</v>
      </c>
      <c r="T31" s="248">
        <v>67</v>
      </c>
      <c r="U31" s="248">
        <v>66</v>
      </c>
      <c r="V31" s="248">
        <v>65</v>
      </c>
    </row>
    <row r="32" spans="1:22">
      <c r="A32" s="239" t="s">
        <v>1590</v>
      </c>
      <c r="B32" s="249" t="s">
        <v>727</v>
      </c>
      <c r="C32" s="239" t="s">
        <v>943</v>
      </c>
      <c r="D32" s="239" t="s">
        <v>20</v>
      </c>
      <c r="E32" s="239" t="s">
        <v>725</v>
      </c>
      <c r="F32" s="158">
        <v>2000</v>
      </c>
      <c r="G32" s="158">
        <v>1702.5</v>
      </c>
      <c r="H32" s="158">
        <v>1702.5</v>
      </c>
      <c r="I32" s="158"/>
      <c r="J32" s="158"/>
      <c r="K32" s="158"/>
      <c r="L32" s="158">
        <f>2000*2</f>
        <v>4000</v>
      </c>
      <c r="M32" s="158">
        <f>1702.5*2</f>
        <v>3405</v>
      </c>
      <c r="N32" s="158">
        <f>1702.5*2</f>
        <v>3405</v>
      </c>
      <c r="O32" s="158">
        <v>2000</v>
      </c>
      <c r="P32" s="158">
        <v>2000</v>
      </c>
      <c r="Q32" s="158">
        <v>2000</v>
      </c>
      <c r="R32" s="158">
        <v>2000</v>
      </c>
      <c r="S32" s="441" t="s">
        <v>722</v>
      </c>
      <c r="T32" s="248">
        <v>67</v>
      </c>
      <c r="U32" s="248">
        <v>66</v>
      </c>
      <c r="V32" s="248">
        <v>65</v>
      </c>
    </row>
    <row r="33" spans="1:22" ht="38.25">
      <c r="A33" s="239" t="s">
        <v>1591</v>
      </c>
      <c r="B33" s="249" t="s">
        <v>728</v>
      </c>
      <c r="C33" s="239" t="s">
        <v>943</v>
      </c>
      <c r="D33" s="239" t="s">
        <v>20</v>
      </c>
      <c r="E33" s="239" t="s">
        <v>725</v>
      </c>
      <c r="F33" s="158"/>
      <c r="G33" s="158"/>
      <c r="H33" s="158">
        <v>3000</v>
      </c>
      <c r="I33" s="240"/>
      <c r="J33" s="240"/>
      <c r="K33" s="240"/>
      <c r="L33" s="158">
        <v>0</v>
      </c>
      <c r="M33" s="158">
        <v>0</v>
      </c>
      <c r="N33" s="158">
        <f>3000*2</f>
        <v>6000</v>
      </c>
      <c r="O33" s="240"/>
      <c r="P33" s="240"/>
      <c r="Q33" s="240"/>
      <c r="R33" s="247"/>
      <c r="S33" s="441" t="s">
        <v>722</v>
      </c>
      <c r="T33" s="248">
        <v>67</v>
      </c>
      <c r="U33" s="248">
        <v>66</v>
      </c>
      <c r="V33" s="248">
        <v>65</v>
      </c>
    </row>
    <row r="34" spans="1:22" ht="25.5">
      <c r="A34" s="239" t="s">
        <v>1592</v>
      </c>
      <c r="B34" s="249" t="s">
        <v>729</v>
      </c>
      <c r="C34" s="239" t="s">
        <v>943</v>
      </c>
      <c r="D34" s="239" t="s">
        <v>20</v>
      </c>
      <c r="E34" s="239" t="s">
        <v>725</v>
      </c>
      <c r="F34" s="158">
        <v>250</v>
      </c>
      <c r="G34" s="158"/>
      <c r="H34" s="158"/>
      <c r="I34" s="240"/>
      <c r="J34" s="240"/>
      <c r="K34" s="240"/>
      <c r="L34" s="158">
        <f>(F34+I34)*2</f>
        <v>500</v>
      </c>
      <c r="M34" s="158">
        <v>0</v>
      </c>
      <c r="N34" s="158">
        <v>0</v>
      </c>
      <c r="O34" s="240"/>
      <c r="P34" s="240"/>
      <c r="Q34" s="240"/>
      <c r="R34" s="247"/>
      <c r="S34" s="441" t="s">
        <v>722</v>
      </c>
      <c r="T34" s="248">
        <v>67</v>
      </c>
      <c r="U34" s="248">
        <v>66</v>
      </c>
      <c r="V34" s="248">
        <v>65</v>
      </c>
    </row>
    <row r="35" spans="1:22" ht="60.75" customHeight="1">
      <c r="A35" s="239" t="s">
        <v>1593</v>
      </c>
      <c r="B35" s="249" t="s">
        <v>730</v>
      </c>
      <c r="C35" s="239" t="s">
        <v>1082</v>
      </c>
      <c r="D35" s="239" t="s">
        <v>20</v>
      </c>
      <c r="E35" s="239" t="s">
        <v>725</v>
      </c>
      <c r="F35" s="158"/>
      <c r="G35" s="158">
        <v>1250</v>
      </c>
      <c r="H35" s="158"/>
      <c r="I35" s="240"/>
      <c r="J35" s="240"/>
      <c r="K35" s="240"/>
      <c r="L35" s="158">
        <v>0</v>
      </c>
      <c r="M35" s="158">
        <f>(G35+J35)*2</f>
        <v>2500</v>
      </c>
      <c r="N35" s="158">
        <v>0</v>
      </c>
      <c r="O35" s="240"/>
      <c r="P35" s="240"/>
      <c r="Q35" s="240"/>
      <c r="R35" s="247"/>
      <c r="S35" s="441" t="s">
        <v>722</v>
      </c>
      <c r="T35" s="248">
        <v>67</v>
      </c>
      <c r="U35" s="248">
        <v>66</v>
      </c>
      <c r="V35" s="248">
        <v>65</v>
      </c>
    </row>
    <row r="36" spans="1:22" ht="25.5">
      <c r="A36" s="239" t="s">
        <v>238</v>
      </c>
      <c r="B36" s="249" t="s">
        <v>731</v>
      </c>
      <c r="C36" s="239" t="s">
        <v>943</v>
      </c>
      <c r="D36" s="239" t="s">
        <v>20</v>
      </c>
      <c r="E36" s="239" t="s">
        <v>1114</v>
      </c>
      <c r="F36" s="158">
        <v>2000</v>
      </c>
      <c r="G36" s="158">
        <v>1702.5</v>
      </c>
      <c r="H36" s="158">
        <v>3100</v>
      </c>
      <c r="I36" s="240"/>
      <c r="J36" s="240"/>
      <c r="K36" s="240">
        <v>-100</v>
      </c>
      <c r="L36" s="158">
        <v>500</v>
      </c>
      <c r="M36" s="158">
        <v>475</v>
      </c>
      <c r="N36" s="158">
        <v>455</v>
      </c>
      <c r="O36" s="240">
        <f t="shared" ref="O36:Q54" si="9">L36-F36</f>
        <v>-1500</v>
      </c>
      <c r="P36" s="240">
        <f t="shared" si="9"/>
        <v>-1227.5</v>
      </c>
      <c r="Q36" s="240">
        <f t="shared" si="9"/>
        <v>-2645</v>
      </c>
      <c r="R36" s="247"/>
      <c r="S36" s="441" t="s">
        <v>722</v>
      </c>
      <c r="T36" s="248">
        <v>67</v>
      </c>
      <c r="U36" s="248">
        <v>66</v>
      </c>
      <c r="V36" s="248">
        <v>65</v>
      </c>
    </row>
    <row r="37" spans="1:22" ht="25.5">
      <c r="A37" s="239" t="s">
        <v>733</v>
      </c>
      <c r="B37" s="249" t="s">
        <v>732</v>
      </c>
      <c r="C37" s="239" t="s">
        <v>943</v>
      </c>
      <c r="D37" s="239" t="s">
        <v>20</v>
      </c>
      <c r="E37" s="239" t="s">
        <v>1115</v>
      </c>
      <c r="F37" s="158">
        <v>200</v>
      </c>
      <c r="G37" s="158">
        <v>200</v>
      </c>
      <c r="H37" s="158">
        <v>200</v>
      </c>
      <c r="I37" s="240"/>
      <c r="J37" s="240"/>
      <c r="K37" s="240"/>
      <c r="L37" s="158">
        <f>F37+I37</f>
        <v>200</v>
      </c>
      <c r="M37" s="158">
        <v>190</v>
      </c>
      <c r="N37" s="158">
        <v>182</v>
      </c>
      <c r="O37" s="240">
        <f t="shared" si="9"/>
        <v>0</v>
      </c>
      <c r="P37" s="240">
        <f t="shared" si="9"/>
        <v>-10</v>
      </c>
      <c r="Q37" s="240">
        <f t="shared" si="9"/>
        <v>-18</v>
      </c>
      <c r="R37" s="247"/>
      <c r="S37" s="441" t="s">
        <v>722</v>
      </c>
      <c r="T37" s="248">
        <v>67</v>
      </c>
      <c r="U37" s="248">
        <v>66</v>
      </c>
      <c r="V37" s="248">
        <v>65</v>
      </c>
    </row>
    <row r="38" spans="1:22" ht="38.25">
      <c r="A38" s="239" t="s">
        <v>736</v>
      </c>
      <c r="B38" s="249" t="s">
        <v>734</v>
      </c>
      <c r="C38" s="239" t="s">
        <v>1081</v>
      </c>
      <c r="D38" s="239" t="s">
        <v>20</v>
      </c>
      <c r="E38" s="239" t="s">
        <v>1116</v>
      </c>
      <c r="F38" s="158">
        <v>880</v>
      </c>
      <c r="G38" s="158">
        <v>880</v>
      </c>
      <c r="H38" s="158">
        <v>880</v>
      </c>
      <c r="I38" s="240">
        <v>120</v>
      </c>
      <c r="J38" s="240">
        <v>120</v>
      </c>
      <c r="K38" s="240">
        <v>120</v>
      </c>
      <c r="L38" s="158">
        <f>F38+I38</f>
        <v>1000</v>
      </c>
      <c r="M38" s="158">
        <v>950</v>
      </c>
      <c r="N38" s="158">
        <v>910</v>
      </c>
      <c r="O38" s="240">
        <f t="shared" si="9"/>
        <v>120</v>
      </c>
      <c r="P38" s="240">
        <f t="shared" si="9"/>
        <v>70</v>
      </c>
      <c r="Q38" s="240">
        <f t="shared" si="9"/>
        <v>30</v>
      </c>
      <c r="R38" s="247" t="s">
        <v>735</v>
      </c>
      <c r="S38" s="441" t="s">
        <v>722</v>
      </c>
      <c r="T38" s="248">
        <v>67</v>
      </c>
      <c r="U38" s="248">
        <v>66</v>
      </c>
      <c r="V38" s="248">
        <v>65</v>
      </c>
    </row>
    <row r="39" spans="1:22" ht="25.5">
      <c r="A39" s="239" t="s">
        <v>739</v>
      </c>
      <c r="B39" s="249" t="s">
        <v>737</v>
      </c>
      <c r="C39" s="239" t="s">
        <v>943</v>
      </c>
      <c r="D39" s="239" t="s">
        <v>20</v>
      </c>
      <c r="E39" s="239" t="s">
        <v>1117</v>
      </c>
      <c r="F39" s="158"/>
      <c r="G39" s="158"/>
      <c r="H39" s="158"/>
      <c r="I39" s="240">
        <v>1120</v>
      </c>
      <c r="J39" s="240">
        <v>190</v>
      </c>
      <c r="K39" s="240"/>
      <c r="L39" s="158">
        <f>F39+I39</f>
        <v>1120</v>
      </c>
      <c r="M39" s="158">
        <v>180.5</v>
      </c>
      <c r="N39" s="158">
        <v>0</v>
      </c>
      <c r="O39" s="240">
        <f t="shared" si="9"/>
        <v>1120</v>
      </c>
      <c r="P39" s="240">
        <f t="shared" si="9"/>
        <v>180.5</v>
      </c>
      <c r="Q39" s="240">
        <f t="shared" si="9"/>
        <v>0</v>
      </c>
      <c r="R39" s="247" t="s">
        <v>738</v>
      </c>
      <c r="S39" s="441" t="s">
        <v>722</v>
      </c>
      <c r="T39" s="248">
        <v>67</v>
      </c>
      <c r="U39" s="248">
        <v>66</v>
      </c>
      <c r="V39" s="248">
        <v>65</v>
      </c>
    </row>
    <row r="40" spans="1:22" ht="80.25" customHeight="1">
      <c r="A40" s="239" t="s">
        <v>843</v>
      </c>
      <c r="B40" s="249" t="s">
        <v>740</v>
      </c>
      <c r="C40" s="239"/>
      <c r="D40" s="239"/>
      <c r="E40" s="239" t="s">
        <v>741</v>
      </c>
      <c r="F40" s="158"/>
      <c r="G40" s="158"/>
      <c r="H40" s="158"/>
      <c r="I40" s="158"/>
      <c r="J40" s="158">
        <f>J41</f>
        <v>750</v>
      </c>
      <c r="K40" s="240"/>
      <c r="L40" s="158">
        <v>0</v>
      </c>
      <c r="M40" s="158">
        <f>M41</f>
        <v>3000</v>
      </c>
      <c r="N40" s="158">
        <v>0</v>
      </c>
      <c r="O40" s="240">
        <f>O41</f>
        <v>0</v>
      </c>
      <c r="P40" s="240">
        <f t="shared" si="9"/>
        <v>3000</v>
      </c>
      <c r="Q40" s="240">
        <f>Q41</f>
        <v>0</v>
      </c>
      <c r="R40" s="247"/>
      <c r="S40" s="441" t="s">
        <v>722</v>
      </c>
      <c r="T40" s="248">
        <v>67</v>
      </c>
      <c r="U40" s="248">
        <v>66</v>
      </c>
      <c r="V40" s="248">
        <v>65</v>
      </c>
    </row>
    <row r="41" spans="1:22" ht="25.5">
      <c r="A41" s="239" t="s">
        <v>1594</v>
      </c>
      <c r="B41" s="249" t="s">
        <v>401</v>
      </c>
      <c r="C41" s="239" t="s">
        <v>1081</v>
      </c>
      <c r="D41" s="239" t="s">
        <v>20</v>
      </c>
      <c r="E41" s="239" t="s">
        <v>741</v>
      </c>
      <c r="F41" s="158"/>
      <c r="G41" s="158"/>
      <c r="H41" s="158"/>
      <c r="I41" s="240"/>
      <c r="J41" s="240">
        <v>750</v>
      </c>
      <c r="K41" s="240"/>
      <c r="L41" s="158">
        <v>0</v>
      </c>
      <c r="M41" s="158">
        <f>G41+J41+2250</f>
        <v>3000</v>
      </c>
      <c r="N41" s="158">
        <v>0</v>
      </c>
      <c r="O41" s="240">
        <f>L41-F41</f>
        <v>0</v>
      </c>
      <c r="P41" s="240">
        <f t="shared" si="9"/>
        <v>3000</v>
      </c>
      <c r="Q41" s="240">
        <f>N41-H41</f>
        <v>0</v>
      </c>
      <c r="R41" s="247"/>
      <c r="S41" s="441" t="s">
        <v>722</v>
      </c>
      <c r="T41" s="248">
        <v>67</v>
      </c>
      <c r="U41" s="248">
        <v>66</v>
      </c>
      <c r="V41" s="248">
        <v>65</v>
      </c>
    </row>
    <row r="42" spans="1:22" ht="38.25">
      <c r="A42" s="239" t="s">
        <v>1595</v>
      </c>
      <c r="B42" s="249" t="s">
        <v>1596</v>
      </c>
      <c r="C42" s="239"/>
      <c r="D42" s="239"/>
      <c r="E42" s="239" t="s">
        <v>1601</v>
      </c>
      <c r="F42" s="158"/>
      <c r="G42" s="158"/>
      <c r="H42" s="158"/>
      <c r="I42" s="240"/>
      <c r="J42" s="240"/>
      <c r="K42" s="240"/>
      <c r="L42" s="158">
        <f>L43+L44</f>
        <v>0.2</v>
      </c>
      <c r="M42" s="158">
        <f t="shared" ref="M42:N42" si="10">M43+M44</f>
        <v>0</v>
      </c>
      <c r="N42" s="158">
        <f t="shared" si="10"/>
        <v>0</v>
      </c>
      <c r="O42" s="240"/>
      <c r="P42" s="240"/>
      <c r="Q42" s="240"/>
      <c r="R42" s="247"/>
      <c r="S42" s="441"/>
      <c r="T42" s="248"/>
      <c r="U42" s="248"/>
      <c r="V42" s="248"/>
    </row>
    <row r="43" spans="1:22" ht="25.5">
      <c r="A43" s="239" t="s">
        <v>1599</v>
      </c>
      <c r="B43" s="249" t="s">
        <v>1597</v>
      </c>
      <c r="C43" s="239" t="s">
        <v>943</v>
      </c>
      <c r="D43" s="239" t="s">
        <v>20</v>
      </c>
      <c r="E43" s="239" t="s">
        <v>1601</v>
      </c>
      <c r="F43" s="158"/>
      <c r="G43" s="158"/>
      <c r="H43" s="158"/>
      <c r="I43" s="240"/>
      <c r="J43" s="240"/>
      <c r="K43" s="240"/>
      <c r="L43" s="158">
        <v>0.1</v>
      </c>
      <c r="M43" s="158"/>
      <c r="N43" s="158"/>
      <c r="O43" s="240"/>
      <c r="P43" s="240"/>
      <c r="Q43" s="240"/>
      <c r="R43" s="247"/>
      <c r="S43" s="441"/>
      <c r="T43" s="248"/>
      <c r="U43" s="248"/>
      <c r="V43" s="248"/>
    </row>
    <row r="44" spans="1:22" ht="25.5">
      <c r="A44" s="239" t="s">
        <v>1600</v>
      </c>
      <c r="B44" s="249" t="s">
        <v>1598</v>
      </c>
      <c r="C44" s="239" t="s">
        <v>943</v>
      </c>
      <c r="D44" s="239" t="s">
        <v>20</v>
      </c>
      <c r="E44" s="239" t="s">
        <v>1601</v>
      </c>
      <c r="F44" s="158"/>
      <c r="G44" s="158"/>
      <c r="H44" s="158"/>
      <c r="I44" s="240"/>
      <c r="J44" s="240"/>
      <c r="K44" s="240"/>
      <c r="L44" s="158">
        <v>0.1</v>
      </c>
      <c r="M44" s="158"/>
      <c r="N44" s="158"/>
      <c r="O44" s="240"/>
      <c r="P44" s="240"/>
      <c r="Q44" s="240"/>
      <c r="R44" s="247"/>
      <c r="S44" s="441"/>
      <c r="T44" s="248"/>
      <c r="U44" s="248"/>
      <c r="V44" s="248"/>
    </row>
    <row r="45" spans="1:22" ht="27">
      <c r="A45" s="239" t="s">
        <v>239</v>
      </c>
      <c r="B45" s="243" t="s">
        <v>742</v>
      </c>
      <c r="C45" s="244"/>
      <c r="D45" s="244"/>
      <c r="E45" s="242" t="s">
        <v>743</v>
      </c>
      <c r="F45" s="245">
        <f>F46+F47+F50+F51+F52+F53+F54+F55</f>
        <v>2370</v>
      </c>
      <c r="G45" s="245">
        <f>G46+G47+G50+G51+G52+G53+G54+G55</f>
        <v>2370</v>
      </c>
      <c r="H45" s="245">
        <f>H46+H47+H50+H51+H52+H53+H54+H55</f>
        <v>2370</v>
      </c>
      <c r="I45" s="246">
        <f>I46+I47+I49</f>
        <v>1080.7</v>
      </c>
      <c r="J45" s="246">
        <f>J46+J47+J49</f>
        <v>0</v>
      </c>
      <c r="K45" s="246">
        <f>K46+K47+K49</f>
        <v>0</v>
      </c>
      <c r="L45" s="245">
        <f>L46+L47+L49</f>
        <v>5650.7</v>
      </c>
      <c r="M45" s="245">
        <f>M46+M47+M50+M51+M52+M53+M54+M55</f>
        <v>4561.5</v>
      </c>
      <c r="N45" s="245">
        <f>N46+N47+N50+N51+N52+N53+N54+N55</f>
        <v>4554.7</v>
      </c>
      <c r="O45" s="240">
        <f>L45-F45</f>
        <v>3280.7</v>
      </c>
      <c r="P45" s="240">
        <f t="shared" si="9"/>
        <v>2191.5</v>
      </c>
      <c r="Q45" s="240">
        <f>N45-H45</f>
        <v>2184.6999999999998</v>
      </c>
      <c r="R45" s="247"/>
      <c r="S45" s="441" t="s">
        <v>744</v>
      </c>
      <c r="T45" s="248">
        <v>79</v>
      </c>
      <c r="U45" s="248">
        <v>78</v>
      </c>
      <c r="V45" s="248">
        <v>77</v>
      </c>
    </row>
    <row r="46" spans="1:22" ht="25.5">
      <c r="A46" s="239" t="s">
        <v>240</v>
      </c>
      <c r="B46" s="249" t="s">
        <v>745</v>
      </c>
      <c r="C46" s="239" t="s">
        <v>943</v>
      </c>
      <c r="D46" s="239" t="s">
        <v>20</v>
      </c>
      <c r="E46" s="239" t="s">
        <v>1118</v>
      </c>
      <c r="F46" s="158">
        <v>170</v>
      </c>
      <c r="G46" s="158">
        <v>170</v>
      </c>
      <c r="H46" s="158">
        <v>170</v>
      </c>
      <c r="I46" s="240"/>
      <c r="J46" s="240"/>
      <c r="K46" s="240"/>
      <c r="L46" s="158">
        <f>F46+I46</f>
        <v>170</v>
      </c>
      <c r="M46" s="158">
        <v>161.5</v>
      </c>
      <c r="N46" s="158">
        <v>154.69999999999999</v>
      </c>
      <c r="O46" s="240">
        <f>L46-F46</f>
        <v>0</v>
      </c>
      <c r="P46" s="240">
        <f t="shared" si="9"/>
        <v>-8.5</v>
      </c>
      <c r="Q46" s="240">
        <f>N46-H46</f>
        <v>-15.300000000000011</v>
      </c>
      <c r="R46" s="247"/>
      <c r="S46" s="441" t="s">
        <v>744</v>
      </c>
      <c r="T46" s="248">
        <v>79</v>
      </c>
      <c r="U46" s="248">
        <v>78</v>
      </c>
      <c r="V46" s="248">
        <v>77</v>
      </c>
    </row>
    <row r="47" spans="1:22" ht="61.5" customHeight="1">
      <c r="A47" s="239" t="s">
        <v>649</v>
      </c>
      <c r="B47" s="249" t="s">
        <v>724</v>
      </c>
      <c r="C47" s="239"/>
      <c r="D47" s="239" t="s">
        <v>20</v>
      </c>
      <c r="E47" s="239" t="s">
        <v>746</v>
      </c>
      <c r="F47" s="158">
        <f>F48</f>
        <v>2200</v>
      </c>
      <c r="G47" s="158">
        <f t="shared" ref="G47:N47" si="11">G48</f>
        <v>2200</v>
      </c>
      <c r="H47" s="158">
        <f t="shared" si="11"/>
        <v>2200</v>
      </c>
      <c r="I47" s="158">
        <f t="shared" si="11"/>
        <v>0</v>
      </c>
      <c r="J47" s="158">
        <f t="shared" si="11"/>
        <v>0</v>
      </c>
      <c r="K47" s="158">
        <f t="shared" si="11"/>
        <v>0</v>
      </c>
      <c r="L47" s="158">
        <f t="shared" si="11"/>
        <v>4400</v>
      </c>
      <c r="M47" s="158">
        <f t="shared" si="11"/>
        <v>4400</v>
      </c>
      <c r="N47" s="158">
        <f t="shared" si="11"/>
        <v>4400</v>
      </c>
      <c r="O47" s="240">
        <f>L47-F47</f>
        <v>2200</v>
      </c>
      <c r="P47" s="240">
        <f t="shared" si="9"/>
        <v>2200</v>
      </c>
      <c r="Q47" s="240">
        <f>N47-H47</f>
        <v>2200</v>
      </c>
      <c r="R47" s="247"/>
      <c r="S47" s="441" t="s">
        <v>744</v>
      </c>
      <c r="T47" s="248">
        <v>79</v>
      </c>
      <c r="U47" s="248">
        <v>78</v>
      </c>
      <c r="V47" s="248">
        <v>77</v>
      </c>
    </row>
    <row r="48" spans="1:22">
      <c r="A48" s="239" t="s">
        <v>747</v>
      </c>
      <c r="B48" s="249" t="s">
        <v>748</v>
      </c>
      <c r="C48" s="239" t="s">
        <v>943</v>
      </c>
      <c r="D48" s="239" t="s">
        <v>20</v>
      </c>
      <c r="E48" s="239" t="s">
        <v>746</v>
      </c>
      <c r="F48" s="158">
        <v>2200</v>
      </c>
      <c r="G48" s="158">
        <v>2200</v>
      </c>
      <c r="H48" s="158">
        <v>2200</v>
      </c>
      <c r="I48" s="240"/>
      <c r="J48" s="240"/>
      <c r="K48" s="240"/>
      <c r="L48" s="158">
        <f>(F48+I48)*2</f>
        <v>4400</v>
      </c>
      <c r="M48" s="158">
        <f>(G48+J48)*2</f>
        <v>4400</v>
      </c>
      <c r="N48" s="158">
        <f>(H48+K48)*2</f>
        <v>4400</v>
      </c>
      <c r="O48" s="240"/>
      <c r="P48" s="240"/>
      <c r="Q48" s="240"/>
      <c r="R48" s="247"/>
      <c r="S48" s="441" t="s">
        <v>744</v>
      </c>
      <c r="T48" s="248">
        <v>79</v>
      </c>
      <c r="U48" s="248">
        <v>78</v>
      </c>
      <c r="V48" s="248">
        <v>77</v>
      </c>
    </row>
    <row r="49" spans="1:22" ht="58.5" customHeight="1">
      <c r="A49" s="239" t="s">
        <v>652</v>
      </c>
      <c r="B49" s="249" t="s">
        <v>1086</v>
      </c>
      <c r="C49" s="239"/>
      <c r="D49" s="239"/>
      <c r="E49" s="239" t="s">
        <v>1119</v>
      </c>
      <c r="F49" s="158"/>
      <c r="G49" s="158"/>
      <c r="H49" s="158"/>
      <c r="I49" s="240">
        <f>I50+I51+I52+I53+I54+I55</f>
        <v>1080.7</v>
      </c>
      <c r="J49" s="240"/>
      <c r="K49" s="240"/>
      <c r="L49" s="158">
        <f>L50+L51+L52+L53+L54+L55</f>
        <v>1080.7</v>
      </c>
      <c r="M49" s="158">
        <f>M50+M51+M52+M53+M54+M55</f>
        <v>0</v>
      </c>
      <c r="N49" s="158">
        <f>N50+N51+N52+N53+N54+N55</f>
        <v>0</v>
      </c>
      <c r="O49" s="240"/>
      <c r="P49" s="240">
        <f t="shared" si="9"/>
        <v>0</v>
      </c>
      <c r="Q49" s="240"/>
      <c r="R49" s="247"/>
      <c r="S49" s="441" t="s">
        <v>744</v>
      </c>
      <c r="T49" s="248">
        <v>79</v>
      </c>
      <c r="U49" s="248">
        <v>78</v>
      </c>
      <c r="V49" s="248">
        <v>77</v>
      </c>
    </row>
    <row r="50" spans="1:22" ht="68.25" customHeight="1">
      <c r="A50" s="239" t="s">
        <v>749</v>
      </c>
      <c r="B50" s="249" t="s">
        <v>750</v>
      </c>
      <c r="C50" s="239" t="s">
        <v>1081</v>
      </c>
      <c r="D50" s="239" t="s">
        <v>20</v>
      </c>
      <c r="E50" s="239" t="s">
        <v>1119</v>
      </c>
      <c r="F50" s="158"/>
      <c r="G50" s="158"/>
      <c r="H50" s="158"/>
      <c r="I50" s="240">
        <v>47.5</v>
      </c>
      <c r="J50" s="240"/>
      <c r="K50" s="240"/>
      <c r="L50" s="451">
        <f t="shared" ref="L50:L55" si="12">F50+I50</f>
        <v>47.5</v>
      </c>
      <c r="M50" s="158">
        <v>0</v>
      </c>
      <c r="N50" s="158">
        <v>0</v>
      </c>
      <c r="O50" s="240">
        <f t="shared" ref="O50:Q61" si="13">L50-F50</f>
        <v>47.5</v>
      </c>
      <c r="P50" s="240">
        <f t="shared" si="9"/>
        <v>0</v>
      </c>
      <c r="Q50" s="240">
        <f t="shared" si="9"/>
        <v>0</v>
      </c>
      <c r="R50" s="910" t="s">
        <v>751</v>
      </c>
      <c r="S50" s="441" t="s">
        <v>744</v>
      </c>
      <c r="T50" s="248">
        <v>79</v>
      </c>
      <c r="U50" s="248">
        <v>78</v>
      </c>
      <c r="V50" s="248">
        <v>77</v>
      </c>
    </row>
    <row r="51" spans="1:22" ht="89.25">
      <c r="A51" s="239" t="s">
        <v>752</v>
      </c>
      <c r="B51" s="249" t="s">
        <v>753</v>
      </c>
      <c r="C51" s="239" t="s">
        <v>1081</v>
      </c>
      <c r="D51" s="239" t="s">
        <v>20</v>
      </c>
      <c r="E51" s="239" t="s">
        <v>1119</v>
      </c>
      <c r="F51" s="158"/>
      <c r="G51" s="158"/>
      <c r="H51" s="158"/>
      <c r="I51" s="240">
        <v>165</v>
      </c>
      <c r="J51" s="240"/>
      <c r="K51" s="240"/>
      <c r="L51" s="451">
        <f t="shared" si="12"/>
        <v>165</v>
      </c>
      <c r="M51" s="158">
        <v>0</v>
      </c>
      <c r="N51" s="158">
        <v>0</v>
      </c>
      <c r="O51" s="240">
        <f t="shared" si="13"/>
        <v>165</v>
      </c>
      <c r="P51" s="240">
        <f t="shared" si="9"/>
        <v>0</v>
      </c>
      <c r="Q51" s="240">
        <f t="shared" si="9"/>
        <v>0</v>
      </c>
      <c r="R51" s="910"/>
      <c r="S51" s="441" t="s">
        <v>744</v>
      </c>
      <c r="T51" s="248">
        <v>79</v>
      </c>
      <c r="U51" s="248">
        <v>78</v>
      </c>
      <c r="V51" s="248">
        <v>77</v>
      </c>
    </row>
    <row r="52" spans="1:22" ht="68.25" customHeight="1">
      <c r="A52" s="239" t="s">
        <v>754</v>
      </c>
      <c r="B52" s="249" t="s">
        <v>755</v>
      </c>
      <c r="C52" s="239" t="s">
        <v>1081</v>
      </c>
      <c r="D52" s="239" t="s">
        <v>20</v>
      </c>
      <c r="E52" s="239" t="s">
        <v>1119</v>
      </c>
      <c r="F52" s="158"/>
      <c r="G52" s="158"/>
      <c r="H52" s="158"/>
      <c r="I52" s="240">
        <v>30</v>
      </c>
      <c r="J52" s="240"/>
      <c r="K52" s="240"/>
      <c r="L52" s="451">
        <f t="shared" si="12"/>
        <v>30</v>
      </c>
      <c r="M52" s="158">
        <v>0</v>
      </c>
      <c r="N52" s="158">
        <v>0</v>
      </c>
      <c r="O52" s="240">
        <f t="shared" si="13"/>
        <v>30</v>
      </c>
      <c r="P52" s="240">
        <f t="shared" si="9"/>
        <v>0</v>
      </c>
      <c r="Q52" s="240">
        <f t="shared" si="9"/>
        <v>0</v>
      </c>
      <c r="R52" s="910"/>
      <c r="S52" s="441" t="s">
        <v>744</v>
      </c>
      <c r="T52" s="248">
        <v>79</v>
      </c>
      <c r="U52" s="248">
        <v>78</v>
      </c>
      <c r="V52" s="248">
        <v>77</v>
      </c>
    </row>
    <row r="53" spans="1:22" ht="70.5" customHeight="1">
      <c r="A53" s="239" t="s">
        <v>756</v>
      </c>
      <c r="B53" s="249" t="s">
        <v>757</v>
      </c>
      <c r="C53" s="239" t="s">
        <v>1081</v>
      </c>
      <c r="D53" s="239" t="s">
        <v>20</v>
      </c>
      <c r="E53" s="239" t="s">
        <v>1119</v>
      </c>
      <c r="F53" s="158"/>
      <c r="G53" s="158"/>
      <c r="H53" s="158"/>
      <c r="I53" s="240">
        <v>42.5</v>
      </c>
      <c r="J53" s="240"/>
      <c r="K53" s="240"/>
      <c r="L53" s="451">
        <f t="shared" si="12"/>
        <v>42.5</v>
      </c>
      <c r="M53" s="158">
        <v>0</v>
      </c>
      <c r="N53" s="158">
        <v>0</v>
      </c>
      <c r="O53" s="240">
        <f t="shared" si="13"/>
        <v>42.5</v>
      </c>
      <c r="P53" s="240">
        <f t="shared" si="9"/>
        <v>0</v>
      </c>
      <c r="Q53" s="240">
        <f t="shared" si="9"/>
        <v>0</v>
      </c>
      <c r="R53" s="910"/>
      <c r="S53" s="441" t="s">
        <v>744</v>
      </c>
      <c r="T53" s="248">
        <v>79</v>
      </c>
      <c r="U53" s="248">
        <v>78</v>
      </c>
      <c r="V53" s="248">
        <v>77</v>
      </c>
    </row>
    <row r="54" spans="1:22" ht="75.75" customHeight="1">
      <c r="A54" s="239" t="s">
        <v>758</v>
      </c>
      <c r="B54" s="249" t="s">
        <v>759</v>
      </c>
      <c r="C54" s="239" t="s">
        <v>1081</v>
      </c>
      <c r="D54" s="239" t="s">
        <v>20</v>
      </c>
      <c r="E54" s="239" t="s">
        <v>1119</v>
      </c>
      <c r="F54" s="158"/>
      <c r="G54" s="158"/>
      <c r="H54" s="158"/>
      <c r="I54" s="240">
        <v>92</v>
      </c>
      <c r="J54" s="240"/>
      <c r="K54" s="240"/>
      <c r="L54" s="451">
        <f t="shared" si="12"/>
        <v>92</v>
      </c>
      <c r="M54" s="158">
        <v>0</v>
      </c>
      <c r="N54" s="158">
        <v>0</v>
      </c>
      <c r="O54" s="240">
        <f t="shared" si="13"/>
        <v>92</v>
      </c>
      <c r="P54" s="240">
        <f t="shared" si="9"/>
        <v>0</v>
      </c>
      <c r="Q54" s="240">
        <f t="shared" si="9"/>
        <v>0</v>
      </c>
      <c r="R54" s="910"/>
      <c r="S54" s="441" t="s">
        <v>744</v>
      </c>
      <c r="T54" s="248">
        <v>79</v>
      </c>
      <c r="U54" s="248">
        <v>78</v>
      </c>
      <c r="V54" s="248">
        <v>77</v>
      </c>
    </row>
    <row r="55" spans="1:22" ht="25.5">
      <c r="A55" s="239" t="s">
        <v>760</v>
      </c>
      <c r="B55" s="249" t="s">
        <v>761</v>
      </c>
      <c r="C55" s="239" t="s">
        <v>1081</v>
      </c>
      <c r="D55" s="239" t="s">
        <v>20</v>
      </c>
      <c r="E55" s="239" t="s">
        <v>1119</v>
      </c>
      <c r="F55" s="158"/>
      <c r="G55" s="158"/>
      <c r="H55" s="158"/>
      <c r="I55" s="240">
        <v>703.7</v>
      </c>
      <c r="J55" s="240"/>
      <c r="K55" s="240"/>
      <c r="L55" s="451">
        <f t="shared" si="12"/>
        <v>703.7</v>
      </c>
      <c r="M55" s="158">
        <v>0</v>
      </c>
      <c r="N55" s="158">
        <v>0</v>
      </c>
      <c r="O55" s="240">
        <f t="shared" si="13"/>
        <v>703.7</v>
      </c>
      <c r="P55" s="240">
        <f t="shared" si="13"/>
        <v>0</v>
      </c>
      <c r="Q55" s="240">
        <f t="shared" si="13"/>
        <v>0</v>
      </c>
      <c r="R55" s="910"/>
      <c r="S55" s="441" t="s">
        <v>744</v>
      </c>
      <c r="T55" s="248">
        <v>79</v>
      </c>
      <c r="U55" s="248">
        <v>78</v>
      </c>
      <c r="V55" s="248">
        <v>77</v>
      </c>
    </row>
    <row r="56" spans="1:22" ht="27">
      <c r="A56" s="242" t="s">
        <v>287</v>
      </c>
      <c r="B56" s="243" t="s">
        <v>762</v>
      </c>
      <c r="C56" s="244"/>
      <c r="D56" s="244"/>
      <c r="E56" s="242" t="s">
        <v>763</v>
      </c>
      <c r="F56" s="245">
        <f>F57+F58</f>
        <v>5013.3</v>
      </c>
      <c r="G56" s="245">
        <f>G57+G58</f>
        <v>5013.3</v>
      </c>
      <c r="H56" s="245">
        <f>H57+H58</f>
        <v>5013.3</v>
      </c>
      <c r="I56" s="246">
        <f>I57+I58+I59+I60+I62</f>
        <v>560.30000000000007</v>
      </c>
      <c r="J56" s="246">
        <f>J57+J58+J59+J60+J62+J65</f>
        <v>5000</v>
      </c>
      <c r="K56" s="246">
        <f>K57+K58+K59+K60+K62+K65</f>
        <v>8000</v>
      </c>
      <c r="L56" s="245">
        <f>L57+L58+L59+L60+L62</f>
        <v>5573.6</v>
      </c>
      <c r="M56" s="245">
        <f>M57+M58+M59+M60+M62</f>
        <v>24762.6</v>
      </c>
      <c r="N56" s="245">
        <f>N57+N58+N59+N60+N62</f>
        <v>27292.1</v>
      </c>
      <c r="O56" s="240">
        <f t="shared" si="13"/>
        <v>560.30000000000018</v>
      </c>
      <c r="P56" s="240">
        <f t="shared" si="13"/>
        <v>19749.3</v>
      </c>
      <c r="Q56" s="240">
        <f t="shared" si="13"/>
        <v>22278.799999999999</v>
      </c>
      <c r="R56" s="247"/>
      <c r="S56" s="441" t="s">
        <v>764</v>
      </c>
      <c r="T56" s="251">
        <v>63.3</v>
      </c>
      <c r="U56" s="251">
        <v>63.3</v>
      </c>
      <c r="V56" s="251">
        <v>64</v>
      </c>
    </row>
    <row r="57" spans="1:22" ht="25.5">
      <c r="A57" s="239" t="s">
        <v>288</v>
      </c>
      <c r="B57" s="249" t="s">
        <v>765</v>
      </c>
      <c r="C57" s="239" t="s">
        <v>943</v>
      </c>
      <c r="D57" s="239" t="s">
        <v>20</v>
      </c>
      <c r="E57" s="239" t="s">
        <v>1120</v>
      </c>
      <c r="F57" s="158">
        <v>5013.3</v>
      </c>
      <c r="G57" s="158">
        <v>5013.3</v>
      </c>
      <c r="H57" s="158">
        <v>5013.3</v>
      </c>
      <c r="I57" s="240"/>
      <c r="J57" s="240"/>
      <c r="K57" s="240"/>
      <c r="L57" s="158">
        <f t="shared" ref="L57:M58" si="14">F57+I57</f>
        <v>5013.3</v>
      </c>
      <c r="M57" s="158">
        <v>4762.6000000000004</v>
      </c>
      <c r="N57" s="158">
        <v>4562.1000000000004</v>
      </c>
      <c r="O57" s="240">
        <f t="shared" si="13"/>
        <v>0</v>
      </c>
      <c r="P57" s="240">
        <f t="shared" si="13"/>
        <v>-250.69999999999982</v>
      </c>
      <c r="Q57" s="240">
        <f t="shared" si="13"/>
        <v>-451.19999999999982</v>
      </c>
      <c r="R57" s="247"/>
      <c r="S57" s="441" t="s">
        <v>764</v>
      </c>
      <c r="T57" s="251">
        <v>63.3</v>
      </c>
      <c r="U57" s="251">
        <v>63.3</v>
      </c>
      <c r="V57" s="251">
        <v>64</v>
      </c>
    </row>
    <row r="58" spans="1:22" ht="51">
      <c r="A58" s="239" t="s">
        <v>289</v>
      </c>
      <c r="B58" s="249" t="s">
        <v>766</v>
      </c>
      <c r="C58" s="239" t="s">
        <v>1081</v>
      </c>
      <c r="D58" s="239" t="s">
        <v>20</v>
      </c>
      <c r="E58" s="239" t="s">
        <v>1121</v>
      </c>
      <c r="F58" s="158"/>
      <c r="G58" s="158"/>
      <c r="H58" s="158"/>
      <c r="I58" s="240">
        <v>0</v>
      </c>
      <c r="J58" s="240">
        <v>0</v>
      </c>
      <c r="K58" s="240">
        <v>3000</v>
      </c>
      <c r="L58" s="158">
        <f t="shared" si="14"/>
        <v>0</v>
      </c>
      <c r="M58" s="158">
        <f t="shared" si="14"/>
        <v>0</v>
      </c>
      <c r="N58" s="158">
        <v>2730</v>
      </c>
      <c r="O58" s="240">
        <f t="shared" si="13"/>
        <v>0</v>
      </c>
      <c r="P58" s="240">
        <f t="shared" si="13"/>
        <v>0</v>
      </c>
      <c r="Q58" s="240">
        <f t="shared" si="13"/>
        <v>2730</v>
      </c>
      <c r="R58" s="247" t="s">
        <v>767</v>
      </c>
      <c r="S58" s="441" t="s">
        <v>764</v>
      </c>
      <c r="T58" s="251">
        <v>63.3</v>
      </c>
      <c r="U58" s="251">
        <v>63.3</v>
      </c>
      <c r="V58" s="251">
        <v>64</v>
      </c>
    </row>
    <row r="59" spans="1:22" ht="63" customHeight="1">
      <c r="A59" s="239" t="s">
        <v>768</v>
      </c>
      <c r="B59" s="249" t="s">
        <v>769</v>
      </c>
      <c r="C59" s="239" t="s">
        <v>1081</v>
      </c>
      <c r="D59" s="239" t="s">
        <v>20</v>
      </c>
      <c r="E59" s="239" t="s">
        <v>1122</v>
      </c>
      <c r="F59" s="158"/>
      <c r="G59" s="158"/>
      <c r="H59" s="158"/>
      <c r="I59" s="240">
        <v>559.20000000000005</v>
      </c>
      <c r="J59" s="240"/>
      <c r="K59" s="240"/>
      <c r="L59" s="158">
        <f>F59+I59</f>
        <v>559.20000000000005</v>
      </c>
      <c r="M59" s="158">
        <v>0</v>
      </c>
      <c r="N59" s="158">
        <v>0</v>
      </c>
      <c r="O59" s="240">
        <f t="shared" si="13"/>
        <v>559.20000000000005</v>
      </c>
      <c r="P59" s="240"/>
      <c r="Q59" s="240"/>
      <c r="R59" s="247"/>
      <c r="S59" s="441" t="s">
        <v>764</v>
      </c>
      <c r="T59" s="251">
        <v>63.3</v>
      </c>
      <c r="U59" s="251">
        <v>63.3</v>
      </c>
      <c r="V59" s="251">
        <v>64</v>
      </c>
    </row>
    <row r="60" spans="1:22" ht="70.5" customHeight="1">
      <c r="A60" s="239" t="s">
        <v>770</v>
      </c>
      <c r="B60" s="249" t="s">
        <v>771</v>
      </c>
      <c r="C60" s="239"/>
      <c r="D60" s="239"/>
      <c r="E60" s="239" t="s">
        <v>1123</v>
      </c>
      <c r="F60" s="158"/>
      <c r="G60" s="158"/>
      <c r="H60" s="158"/>
      <c r="I60" s="240">
        <f>I61</f>
        <v>1.1000000000000001</v>
      </c>
      <c r="J60" s="240"/>
      <c r="K60" s="240"/>
      <c r="L60" s="158">
        <f>L61</f>
        <v>1.1000000000000001</v>
      </c>
      <c r="M60" s="158">
        <v>0</v>
      </c>
      <c r="N60" s="158">
        <v>0</v>
      </c>
      <c r="O60" s="240">
        <f t="shared" si="13"/>
        <v>1.1000000000000001</v>
      </c>
      <c r="P60" s="240"/>
      <c r="Q60" s="240"/>
      <c r="R60" s="247"/>
      <c r="S60" s="441" t="s">
        <v>764</v>
      </c>
      <c r="T60" s="251">
        <v>63.3</v>
      </c>
      <c r="U60" s="251">
        <v>63.3</v>
      </c>
      <c r="V60" s="251">
        <v>64</v>
      </c>
    </row>
    <row r="61" spans="1:22" ht="62.25" customHeight="1">
      <c r="A61" s="239" t="s">
        <v>772</v>
      </c>
      <c r="B61" s="249" t="s">
        <v>773</v>
      </c>
      <c r="C61" s="239" t="s">
        <v>944</v>
      </c>
      <c r="D61" s="239" t="s">
        <v>20</v>
      </c>
      <c r="E61" s="239" t="s">
        <v>1123</v>
      </c>
      <c r="F61" s="158"/>
      <c r="G61" s="158"/>
      <c r="H61" s="158"/>
      <c r="I61" s="240">
        <v>1.1000000000000001</v>
      </c>
      <c r="J61" s="240"/>
      <c r="K61" s="240"/>
      <c r="L61" s="158">
        <v>1.1000000000000001</v>
      </c>
      <c r="M61" s="158">
        <v>0</v>
      </c>
      <c r="N61" s="158">
        <v>0</v>
      </c>
      <c r="O61" s="240">
        <f t="shared" si="13"/>
        <v>1.1000000000000001</v>
      </c>
      <c r="P61" s="240"/>
      <c r="Q61" s="240"/>
      <c r="R61" s="247"/>
      <c r="S61" s="441" t="s">
        <v>764</v>
      </c>
      <c r="T61" s="251">
        <v>63.3</v>
      </c>
      <c r="U61" s="251">
        <v>63.3</v>
      </c>
      <c r="V61" s="251">
        <v>64</v>
      </c>
    </row>
    <row r="62" spans="1:22" ht="76.5">
      <c r="A62" s="239" t="s">
        <v>774</v>
      </c>
      <c r="B62" s="249" t="s">
        <v>706</v>
      </c>
      <c r="C62" s="239"/>
      <c r="D62" s="239"/>
      <c r="E62" s="239" t="s">
        <v>775</v>
      </c>
      <c r="F62" s="158"/>
      <c r="G62" s="158"/>
      <c r="H62" s="158"/>
      <c r="I62" s="158"/>
      <c r="J62" s="158">
        <f>J63+J64</f>
        <v>5000</v>
      </c>
      <c r="K62" s="158">
        <f>K63+K64</f>
        <v>5000</v>
      </c>
      <c r="L62" s="158">
        <v>0</v>
      </c>
      <c r="M62" s="158">
        <f>M63+M64</f>
        <v>20000</v>
      </c>
      <c r="N62" s="158">
        <f>N63+N64</f>
        <v>20000</v>
      </c>
      <c r="O62" s="158">
        <f>O63+O64</f>
        <v>0</v>
      </c>
      <c r="P62" s="158">
        <f>P63+P64</f>
        <v>0</v>
      </c>
      <c r="Q62" s="158"/>
      <c r="R62" s="247"/>
      <c r="S62" s="441" t="s">
        <v>764</v>
      </c>
      <c r="T62" s="251">
        <v>63.3</v>
      </c>
      <c r="U62" s="251">
        <v>63.3</v>
      </c>
      <c r="V62" s="251">
        <v>64</v>
      </c>
    </row>
    <row r="63" spans="1:22" ht="63" customHeight="1">
      <c r="A63" s="239" t="s">
        <v>776</v>
      </c>
      <c r="B63" s="249" t="s">
        <v>777</v>
      </c>
      <c r="C63" s="239" t="s">
        <v>1081</v>
      </c>
      <c r="D63" s="239" t="s">
        <v>20</v>
      </c>
      <c r="E63" s="239" t="s">
        <v>775</v>
      </c>
      <c r="F63" s="158"/>
      <c r="G63" s="158"/>
      <c r="H63" s="158"/>
      <c r="I63" s="240"/>
      <c r="J63" s="240">
        <v>5000</v>
      </c>
      <c r="K63" s="240"/>
      <c r="L63" s="158">
        <v>0</v>
      </c>
      <c r="M63" s="158">
        <f>G63+J63+15000</f>
        <v>20000</v>
      </c>
      <c r="N63" s="158">
        <v>0</v>
      </c>
      <c r="O63" s="240">
        <f>L63-F63</f>
        <v>0</v>
      </c>
      <c r="P63" s="240"/>
      <c r="Q63" s="240"/>
      <c r="R63" s="247"/>
      <c r="S63" s="441" t="s">
        <v>764</v>
      </c>
      <c r="T63" s="251">
        <v>63.3</v>
      </c>
      <c r="U63" s="251">
        <v>63.3</v>
      </c>
      <c r="V63" s="251">
        <v>64</v>
      </c>
    </row>
    <row r="64" spans="1:22" ht="61.5" customHeight="1">
      <c r="A64" s="239" t="s">
        <v>778</v>
      </c>
      <c r="B64" s="249" t="s">
        <v>779</v>
      </c>
      <c r="C64" s="239" t="s">
        <v>1081</v>
      </c>
      <c r="D64" s="239" t="s">
        <v>20</v>
      </c>
      <c r="E64" s="239" t="s">
        <v>775</v>
      </c>
      <c r="F64" s="158"/>
      <c r="G64" s="158"/>
      <c r="H64" s="158"/>
      <c r="I64" s="240"/>
      <c r="J64" s="240"/>
      <c r="K64" s="240">
        <v>5000</v>
      </c>
      <c r="L64" s="158">
        <v>0</v>
      </c>
      <c r="M64" s="158">
        <v>0</v>
      </c>
      <c r="N64" s="158">
        <f>H64+K64+15000</f>
        <v>20000</v>
      </c>
      <c r="O64" s="240"/>
      <c r="P64" s="240">
        <f>M64-G64</f>
        <v>0</v>
      </c>
      <c r="Q64" s="240"/>
      <c r="R64" s="247"/>
      <c r="S64" s="441" t="s">
        <v>764</v>
      </c>
      <c r="T64" s="251">
        <v>63.3</v>
      </c>
      <c r="U64" s="251">
        <v>63.3</v>
      </c>
      <c r="V64" s="251">
        <v>64</v>
      </c>
    </row>
    <row r="65" spans="1:22" ht="40.5">
      <c r="A65" s="242" t="s">
        <v>377</v>
      </c>
      <c r="B65" s="243" t="s">
        <v>780</v>
      </c>
      <c r="C65" s="242"/>
      <c r="D65" s="242"/>
      <c r="E65" s="242" t="s">
        <v>781</v>
      </c>
      <c r="F65" s="246">
        <f t="shared" ref="F65:K65" si="15">F67+F68+F69+F70</f>
        <v>0</v>
      </c>
      <c r="G65" s="246">
        <f t="shared" si="15"/>
        <v>0</v>
      </c>
      <c r="H65" s="246">
        <f t="shared" si="15"/>
        <v>0</v>
      </c>
      <c r="I65" s="246">
        <f t="shared" si="15"/>
        <v>7383.3</v>
      </c>
      <c r="J65" s="246">
        <f t="shared" si="15"/>
        <v>0</v>
      </c>
      <c r="K65" s="246">
        <f t="shared" si="15"/>
        <v>0</v>
      </c>
      <c r="L65" s="246">
        <f>L67+L68+L69+L70+L71</f>
        <v>22891.200000000001</v>
      </c>
      <c r="M65" s="246">
        <f t="shared" ref="M65:N65" si="16">M67+M68+M69+M70+M71</f>
        <v>4585.8</v>
      </c>
      <c r="N65" s="246">
        <f t="shared" si="16"/>
        <v>8513.4</v>
      </c>
      <c r="O65" s="240">
        <f>L65-F65</f>
        <v>22891.200000000001</v>
      </c>
      <c r="P65" s="240"/>
      <c r="Q65" s="240"/>
      <c r="R65" s="247" t="s">
        <v>782</v>
      </c>
      <c r="S65" s="441" t="s">
        <v>783</v>
      </c>
      <c r="T65" s="251">
        <v>27.5</v>
      </c>
      <c r="U65" s="251">
        <v>30</v>
      </c>
      <c r="V65" s="251">
        <v>31</v>
      </c>
    </row>
    <row r="66" spans="1:22" ht="61.5" customHeight="1">
      <c r="A66" s="239" t="s">
        <v>378</v>
      </c>
      <c r="B66" s="249" t="s">
        <v>784</v>
      </c>
      <c r="C66" s="239"/>
      <c r="D66" s="239"/>
      <c r="E66" s="239" t="s">
        <v>785</v>
      </c>
      <c r="F66" s="158">
        <f>F67+F68+F69+F70</f>
        <v>0</v>
      </c>
      <c r="G66" s="158">
        <f t="shared" ref="G66:K66" si="17">G67+G68+G69+G70</f>
        <v>0</v>
      </c>
      <c r="H66" s="158">
        <f t="shared" si="17"/>
        <v>0</v>
      </c>
      <c r="I66" s="252">
        <f t="shared" si="17"/>
        <v>7383.3</v>
      </c>
      <c r="J66" s="252">
        <f t="shared" si="17"/>
        <v>0</v>
      </c>
      <c r="K66" s="252">
        <f t="shared" si="17"/>
        <v>0</v>
      </c>
      <c r="L66" s="252">
        <f>L67+L68+L69+L70+L71</f>
        <v>22891.200000000001</v>
      </c>
      <c r="M66" s="252">
        <f t="shared" ref="M66:N66" si="18">M67+M68+M69+M70+M71</f>
        <v>4585.8</v>
      </c>
      <c r="N66" s="252">
        <f t="shared" si="18"/>
        <v>8513.4</v>
      </c>
      <c r="O66" s="240"/>
      <c r="P66" s="240"/>
      <c r="Q66" s="240"/>
      <c r="R66" s="247"/>
      <c r="S66" s="441" t="s">
        <v>783</v>
      </c>
      <c r="T66" s="251">
        <v>27.5</v>
      </c>
      <c r="U66" s="251">
        <v>30</v>
      </c>
      <c r="V66" s="251">
        <v>31</v>
      </c>
    </row>
    <row r="67" spans="1:22" ht="38.25">
      <c r="A67" s="239" t="s">
        <v>786</v>
      </c>
      <c r="B67" s="249" t="s">
        <v>1544</v>
      </c>
      <c r="C67" s="239" t="s">
        <v>1083</v>
      </c>
      <c r="D67" s="239" t="s">
        <v>20</v>
      </c>
      <c r="E67" s="239" t="s">
        <v>785</v>
      </c>
      <c r="F67" s="158"/>
      <c r="G67" s="158"/>
      <c r="H67" s="158"/>
      <c r="I67" s="240">
        <v>1365.8</v>
      </c>
      <c r="J67" s="240"/>
      <c r="K67" s="240"/>
      <c r="L67" s="158">
        <f>(F67+I67)*2</f>
        <v>2731.6</v>
      </c>
      <c r="M67" s="158"/>
      <c r="N67" s="158"/>
      <c r="O67" s="240">
        <f>L67-F67</f>
        <v>2731.6</v>
      </c>
      <c r="P67" s="240"/>
      <c r="Q67" s="240"/>
      <c r="R67" s="247"/>
      <c r="S67" s="441" t="s">
        <v>783</v>
      </c>
      <c r="T67" s="251">
        <v>27.5</v>
      </c>
      <c r="U67" s="251">
        <v>30</v>
      </c>
      <c r="V67" s="251">
        <v>31</v>
      </c>
    </row>
    <row r="68" spans="1:22" ht="25.5">
      <c r="A68" s="239" t="s">
        <v>787</v>
      </c>
      <c r="B68" s="249" t="s">
        <v>1613</v>
      </c>
      <c r="C68" s="239" t="s">
        <v>1083</v>
      </c>
      <c r="D68" s="239" t="s">
        <v>20</v>
      </c>
      <c r="E68" s="239" t="s">
        <v>785</v>
      </c>
      <c r="F68" s="158"/>
      <c r="G68" s="158"/>
      <c r="H68" s="158"/>
      <c r="I68" s="240">
        <v>450</v>
      </c>
      <c r="J68" s="240"/>
      <c r="K68" s="240"/>
      <c r="L68" s="158">
        <v>1565</v>
      </c>
      <c r="M68" s="158"/>
      <c r="N68" s="158"/>
      <c r="O68" s="240">
        <f>L68-F68</f>
        <v>1565</v>
      </c>
      <c r="P68" s="240"/>
      <c r="Q68" s="240"/>
      <c r="R68" s="247"/>
      <c r="S68" s="441" t="s">
        <v>783</v>
      </c>
      <c r="T68" s="251">
        <v>27.5</v>
      </c>
      <c r="U68" s="251">
        <v>30</v>
      </c>
      <c r="V68" s="251">
        <v>31</v>
      </c>
    </row>
    <row r="69" spans="1:22">
      <c r="A69" s="239" t="s">
        <v>788</v>
      </c>
      <c r="B69" s="249" t="s">
        <v>810</v>
      </c>
      <c r="C69" s="239" t="s">
        <v>1083</v>
      </c>
      <c r="D69" s="239" t="s">
        <v>20</v>
      </c>
      <c r="E69" s="239" t="s">
        <v>785</v>
      </c>
      <c r="F69" s="158"/>
      <c r="G69" s="158"/>
      <c r="H69" s="158"/>
      <c r="I69" s="240">
        <v>4817.5</v>
      </c>
      <c r="J69" s="240"/>
      <c r="K69" s="240"/>
      <c r="L69" s="158">
        <f>2*2500</f>
        <v>5000</v>
      </c>
      <c r="M69" s="158"/>
      <c r="N69" s="158"/>
      <c r="O69" s="240">
        <f>L69-F69</f>
        <v>5000</v>
      </c>
      <c r="P69" s="240"/>
      <c r="Q69" s="240"/>
      <c r="R69" s="247"/>
      <c r="S69" s="441" t="s">
        <v>783</v>
      </c>
      <c r="T69" s="251">
        <v>27.5</v>
      </c>
      <c r="U69" s="251">
        <v>30</v>
      </c>
      <c r="V69" s="251">
        <v>31</v>
      </c>
    </row>
    <row r="70" spans="1:22" ht="25.5">
      <c r="A70" s="239" t="s">
        <v>789</v>
      </c>
      <c r="B70" s="249" t="s">
        <v>790</v>
      </c>
      <c r="C70" s="239" t="s">
        <v>1083</v>
      </c>
      <c r="D70" s="239" t="s">
        <v>20</v>
      </c>
      <c r="E70" s="239" t="s">
        <v>785</v>
      </c>
      <c r="F70" s="158"/>
      <c r="G70" s="158"/>
      <c r="H70" s="158"/>
      <c r="I70" s="240">
        <v>750</v>
      </c>
      <c r="J70" s="240"/>
      <c r="K70" s="240"/>
      <c r="L70" s="158">
        <f>(F70+I70)*2</f>
        <v>1500</v>
      </c>
      <c r="M70" s="158"/>
      <c r="N70" s="158"/>
      <c r="O70" s="240">
        <f>L70-F70</f>
        <v>1500</v>
      </c>
      <c r="P70" s="240"/>
      <c r="Q70" s="240"/>
      <c r="R70" s="247"/>
      <c r="S70" s="441" t="s">
        <v>783</v>
      </c>
      <c r="T70" s="251">
        <v>27.5</v>
      </c>
      <c r="U70" s="251">
        <v>30</v>
      </c>
      <c r="V70" s="251">
        <v>31</v>
      </c>
    </row>
    <row r="71" spans="1:22" ht="25.5">
      <c r="A71" s="239" t="s">
        <v>811</v>
      </c>
      <c r="B71" s="249" t="s">
        <v>812</v>
      </c>
      <c r="C71" s="239" t="s">
        <v>1083</v>
      </c>
      <c r="D71" s="239" t="s">
        <v>20</v>
      </c>
      <c r="E71" s="239" t="s">
        <v>785</v>
      </c>
      <c r="F71" s="158"/>
      <c r="G71" s="158"/>
      <c r="H71" s="158"/>
      <c r="I71" s="240"/>
      <c r="J71" s="240"/>
      <c r="K71" s="240"/>
      <c r="L71" s="158">
        <v>12094.6</v>
      </c>
      <c r="M71" s="158">
        <v>4585.8</v>
      </c>
      <c r="N71" s="158">
        <v>8513.4</v>
      </c>
      <c r="O71" s="240"/>
      <c r="P71" s="240"/>
      <c r="Q71" s="240"/>
      <c r="R71" s="247"/>
      <c r="S71" s="441" t="s">
        <v>783</v>
      </c>
      <c r="T71" s="251">
        <v>27.5</v>
      </c>
      <c r="U71" s="251">
        <v>30</v>
      </c>
      <c r="V71" s="251">
        <v>31</v>
      </c>
    </row>
    <row r="72" spans="1:22" ht="33.75">
      <c r="A72" s="233" t="s">
        <v>19</v>
      </c>
      <c r="B72" s="234" t="s">
        <v>791</v>
      </c>
      <c r="C72" s="233"/>
      <c r="D72" s="233"/>
      <c r="E72" s="233" t="s">
        <v>792</v>
      </c>
      <c r="F72" s="236">
        <f>F73+F76</f>
        <v>0</v>
      </c>
      <c r="G72" s="236">
        <f>G73+G76</f>
        <v>0</v>
      </c>
      <c r="H72" s="236">
        <f>H73+H76</f>
        <v>0</v>
      </c>
      <c r="I72" s="236">
        <f>I73+I76</f>
        <v>4500</v>
      </c>
      <c r="J72" s="236">
        <f t="shared" ref="J72:R72" si="19">J73+J76</f>
        <v>0</v>
      </c>
      <c r="K72" s="236">
        <f t="shared" si="19"/>
        <v>0</v>
      </c>
      <c r="L72" s="236">
        <f t="shared" si="19"/>
        <v>5913.7</v>
      </c>
      <c r="M72" s="236">
        <f t="shared" si="19"/>
        <v>13.7</v>
      </c>
      <c r="N72" s="236">
        <f t="shared" si="19"/>
        <v>13.7</v>
      </c>
      <c r="O72" s="236">
        <f t="shared" si="19"/>
        <v>5900</v>
      </c>
      <c r="P72" s="236">
        <f t="shared" si="19"/>
        <v>0</v>
      </c>
      <c r="Q72" s="236">
        <f t="shared" si="19"/>
        <v>0</v>
      </c>
      <c r="R72" s="236">
        <f t="shared" si="19"/>
        <v>0</v>
      </c>
      <c r="S72" s="441" t="s">
        <v>793</v>
      </c>
      <c r="T72" s="251">
        <v>26</v>
      </c>
      <c r="U72" s="251">
        <v>27</v>
      </c>
      <c r="V72" s="251">
        <v>28</v>
      </c>
    </row>
    <row r="73" spans="1:22" ht="33.75">
      <c r="A73" s="242" t="s">
        <v>290</v>
      </c>
      <c r="B73" s="243" t="s">
        <v>794</v>
      </c>
      <c r="C73" s="242"/>
      <c r="D73" s="242"/>
      <c r="E73" s="242" t="s">
        <v>795</v>
      </c>
      <c r="F73" s="246"/>
      <c r="G73" s="246"/>
      <c r="H73" s="246"/>
      <c r="I73" s="246">
        <f t="shared" ref="I73:N73" si="20">I74</f>
        <v>4500</v>
      </c>
      <c r="J73" s="246">
        <f t="shared" si="20"/>
        <v>0</v>
      </c>
      <c r="K73" s="246">
        <f t="shared" si="20"/>
        <v>0</v>
      </c>
      <c r="L73" s="246">
        <f>L74+L75</f>
        <v>5900</v>
      </c>
      <c r="M73" s="246">
        <f t="shared" si="20"/>
        <v>0</v>
      </c>
      <c r="N73" s="246">
        <f t="shared" si="20"/>
        <v>0</v>
      </c>
      <c r="O73" s="240">
        <f>L73-F73</f>
        <v>5900</v>
      </c>
      <c r="P73" s="240"/>
      <c r="Q73" s="240"/>
      <c r="R73" s="247"/>
      <c r="S73" s="441" t="s">
        <v>793</v>
      </c>
      <c r="T73" s="251">
        <v>26</v>
      </c>
      <c r="U73" s="251">
        <v>27</v>
      </c>
      <c r="V73" s="251">
        <v>28</v>
      </c>
    </row>
    <row r="74" spans="1:22" ht="33.75">
      <c r="A74" s="239" t="s">
        <v>241</v>
      </c>
      <c r="B74" s="249" t="s">
        <v>796</v>
      </c>
      <c r="C74" s="239" t="s">
        <v>1083</v>
      </c>
      <c r="D74" s="239" t="s">
        <v>797</v>
      </c>
      <c r="E74" s="239" t="s">
        <v>1124</v>
      </c>
      <c r="F74" s="158"/>
      <c r="G74" s="158"/>
      <c r="H74" s="158"/>
      <c r="I74" s="240">
        <v>4500</v>
      </c>
      <c r="J74" s="240"/>
      <c r="K74" s="240"/>
      <c r="L74" s="158">
        <f>F74+I74</f>
        <v>4500</v>
      </c>
      <c r="M74" s="158">
        <v>0</v>
      </c>
      <c r="N74" s="158">
        <v>0</v>
      </c>
      <c r="O74" s="240">
        <f>L74-F74</f>
        <v>4500</v>
      </c>
      <c r="P74" s="240"/>
      <c r="Q74" s="240"/>
      <c r="R74" s="247"/>
      <c r="S74" s="441" t="s">
        <v>793</v>
      </c>
      <c r="T74" s="251">
        <v>26</v>
      </c>
      <c r="U74" s="251">
        <v>27</v>
      </c>
      <c r="V74" s="251">
        <v>28</v>
      </c>
    </row>
    <row r="75" spans="1:22" ht="38.25">
      <c r="A75" s="239" t="s">
        <v>340</v>
      </c>
      <c r="B75" s="249" t="s">
        <v>1612</v>
      </c>
      <c r="C75" s="239" t="s">
        <v>1082</v>
      </c>
      <c r="D75" s="239" t="s">
        <v>10</v>
      </c>
      <c r="E75" s="239" t="s">
        <v>1603</v>
      </c>
      <c r="F75" s="158"/>
      <c r="G75" s="158"/>
      <c r="H75" s="158"/>
      <c r="I75" s="240"/>
      <c r="J75" s="240"/>
      <c r="K75" s="240"/>
      <c r="L75" s="158">
        <v>1400</v>
      </c>
      <c r="M75" s="158">
        <v>0</v>
      </c>
      <c r="N75" s="158">
        <v>0</v>
      </c>
      <c r="O75" s="240"/>
      <c r="P75" s="240"/>
      <c r="Q75" s="240"/>
      <c r="R75" s="247"/>
      <c r="S75" s="441"/>
      <c r="T75" s="251"/>
      <c r="U75" s="251"/>
      <c r="V75" s="251"/>
    </row>
    <row r="76" spans="1:22" ht="45.75" customHeight="1">
      <c r="A76" s="242" t="s">
        <v>798</v>
      </c>
      <c r="B76" s="243" t="s">
        <v>1239</v>
      </c>
      <c r="C76" s="242"/>
      <c r="D76" s="242"/>
      <c r="E76" s="242" t="s">
        <v>799</v>
      </c>
      <c r="F76" s="245"/>
      <c r="G76" s="245"/>
      <c r="H76" s="245"/>
      <c r="I76" s="246"/>
      <c r="J76" s="246"/>
      <c r="K76" s="246"/>
      <c r="L76" s="245">
        <f>L77+L78</f>
        <v>13.7</v>
      </c>
      <c r="M76" s="245">
        <f>M77+M78</f>
        <v>13.7</v>
      </c>
      <c r="N76" s="245">
        <f>N77+N78</f>
        <v>13.7</v>
      </c>
      <c r="O76" s="240"/>
      <c r="P76" s="240"/>
      <c r="Q76" s="240"/>
      <c r="R76" s="247"/>
      <c r="S76" s="441" t="s">
        <v>793</v>
      </c>
      <c r="T76" s="251">
        <v>26</v>
      </c>
      <c r="U76" s="251">
        <v>27</v>
      </c>
      <c r="V76" s="251">
        <v>28</v>
      </c>
    </row>
    <row r="77" spans="1:22" ht="75.75" customHeight="1">
      <c r="A77" s="239" t="s">
        <v>800</v>
      </c>
      <c r="B77" s="249" t="s">
        <v>1231</v>
      </c>
      <c r="C77" s="239" t="s">
        <v>943</v>
      </c>
      <c r="D77" s="239" t="s">
        <v>30</v>
      </c>
      <c r="E77" s="239" t="s">
        <v>801</v>
      </c>
      <c r="F77" s="245"/>
      <c r="G77" s="245"/>
      <c r="H77" s="245"/>
      <c r="I77" s="246"/>
      <c r="J77" s="246"/>
      <c r="K77" s="246"/>
      <c r="L77" s="245"/>
      <c r="M77" s="245"/>
      <c r="N77" s="245"/>
      <c r="O77" s="240"/>
      <c r="P77" s="240"/>
      <c r="Q77" s="240"/>
      <c r="R77" s="247"/>
      <c r="S77" s="441" t="s">
        <v>793</v>
      </c>
      <c r="T77" s="251">
        <v>26</v>
      </c>
      <c r="U77" s="251">
        <v>27</v>
      </c>
      <c r="V77" s="251">
        <v>28</v>
      </c>
    </row>
    <row r="78" spans="1:22" ht="82.5" customHeight="1">
      <c r="A78" s="239" t="s">
        <v>359</v>
      </c>
      <c r="B78" s="249" t="s">
        <v>211</v>
      </c>
      <c r="C78" s="239" t="s">
        <v>943</v>
      </c>
      <c r="D78" s="239" t="s">
        <v>63</v>
      </c>
      <c r="E78" s="239" t="s">
        <v>947</v>
      </c>
      <c r="F78" s="158"/>
      <c r="G78" s="158"/>
      <c r="H78" s="158"/>
      <c r="I78" s="240"/>
      <c r="J78" s="240"/>
      <c r="K78" s="240"/>
      <c r="L78" s="158">
        <v>13.7</v>
      </c>
      <c r="M78" s="158">
        <v>13.7</v>
      </c>
      <c r="N78" s="158">
        <v>13.7</v>
      </c>
      <c r="O78" s="240"/>
      <c r="P78" s="240"/>
      <c r="Q78" s="240"/>
      <c r="R78" s="247"/>
      <c r="S78" s="441" t="s">
        <v>793</v>
      </c>
      <c r="T78" s="251">
        <v>26</v>
      </c>
      <c r="U78" s="251">
        <v>27</v>
      </c>
      <c r="V78" s="251">
        <v>28</v>
      </c>
    </row>
    <row r="79" spans="1:22" ht="30">
      <c r="A79" s="233" t="s">
        <v>21</v>
      </c>
      <c r="B79" s="234" t="s">
        <v>57</v>
      </c>
      <c r="C79" s="233"/>
      <c r="D79" s="233"/>
      <c r="E79" s="233" t="s">
        <v>802</v>
      </c>
      <c r="F79" s="146">
        <f t="shared" ref="F79:K80" si="21">F80</f>
        <v>7968.8</v>
      </c>
      <c r="G79" s="146">
        <f t="shared" si="21"/>
        <v>7962.8</v>
      </c>
      <c r="H79" s="146">
        <f t="shared" si="21"/>
        <v>7963.9</v>
      </c>
      <c r="I79" s="236">
        <f t="shared" si="21"/>
        <v>30</v>
      </c>
      <c r="J79" s="236">
        <f t="shared" si="21"/>
        <v>30</v>
      </c>
      <c r="K79" s="236">
        <f t="shared" si="21"/>
        <v>30</v>
      </c>
      <c r="L79" s="236">
        <f>L80+L83</f>
        <v>8066.8</v>
      </c>
      <c r="M79" s="236">
        <f t="shared" ref="M79:N79" si="22">M80+M83</f>
        <v>7659.6</v>
      </c>
      <c r="N79" s="236">
        <f t="shared" si="22"/>
        <v>7339</v>
      </c>
      <c r="O79" s="236">
        <f t="shared" ref="O79:Q81" si="23">L79-F79</f>
        <v>98</v>
      </c>
      <c r="P79" s="236">
        <f t="shared" si="23"/>
        <v>-303.19999999999982</v>
      </c>
      <c r="Q79" s="236">
        <f t="shared" si="23"/>
        <v>-624.89999999999964</v>
      </c>
      <c r="R79" s="247"/>
      <c r="S79" s="441" t="s">
        <v>803</v>
      </c>
      <c r="T79" s="251" t="s">
        <v>598</v>
      </c>
      <c r="U79" s="251" t="s">
        <v>598</v>
      </c>
      <c r="V79" s="251" t="s">
        <v>598</v>
      </c>
    </row>
    <row r="80" spans="1:22" ht="40.5">
      <c r="A80" s="242" t="s">
        <v>362</v>
      </c>
      <c r="B80" s="243" t="s">
        <v>804</v>
      </c>
      <c r="C80" s="242"/>
      <c r="D80" s="242"/>
      <c r="E80" s="242" t="s">
        <v>805</v>
      </c>
      <c r="F80" s="245">
        <f t="shared" si="21"/>
        <v>7968.8</v>
      </c>
      <c r="G80" s="245">
        <f t="shared" si="21"/>
        <v>7962.8</v>
      </c>
      <c r="H80" s="245">
        <f t="shared" si="21"/>
        <v>7963.9</v>
      </c>
      <c r="I80" s="246">
        <f>I81</f>
        <v>30</v>
      </c>
      <c r="J80" s="246">
        <f>J81</f>
        <v>30</v>
      </c>
      <c r="K80" s="246">
        <f>K81</f>
        <v>30</v>
      </c>
      <c r="L80" s="246">
        <v>8041.7</v>
      </c>
      <c r="M80" s="246">
        <v>7634.5</v>
      </c>
      <c r="N80" s="246">
        <v>7313.9</v>
      </c>
      <c r="O80" s="246">
        <f t="shared" ref="O80:R80" si="24">O81+O82+O83</f>
        <v>54.899999999999636</v>
      </c>
      <c r="P80" s="246">
        <f t="shared" si="24"/>
        <v>-345.40000000000055</v>
      </c>
      <c r="Q80" s="246">
        <f t="shared" si="24"/>
        <v>-666.39999999999964</v>
      </c>
      <c r="R80" s="246">
        <f t="shared" si="24"/>
        <v>0</v>
      </c>
      <c r="S80" s="441" t="s">
        <v>803</v>
      </c>
      <c r="T80" s="251" t="s">
        <v>598</v>
      </c>
      <c r="U80" s="251" t="s">
        <v>598</v>
      </c>
      <c r="V80" s="251" t="s">
        <v>598</v>
      </c>
    </row>
    <row r="81" spans="1:22" ht="30">
      <c r="A81" s="239" t="s">
        <v>363</v>
      </c>
      <c r="B81" s="249" t="s">
        <v>806</v>
      </c>
      <c r="C81" s="239" t="s">
        <v>943</v>
      </c>
      <c r="D81" s="239" t="s">
        <v>807</v>
      </c>
      <c r="E81" s="239" t="s">
        <v>808</v>
      </c>
      <c r="F81" s="158">
        <v>7968.8</v>
      </c>
      <c r="G81" s="158">
        <v>7962.8</v>
      </c>
      <c r="H81" s="158">
        <v>7963.9</v>
      </c>
      <c r="I81" s="240">
        <v>30</v>
      </c>
      <c r="J81" s="240">
        <v>30</v>
      </c>
      <c r="K81" s="240">
        <v>30</v>
      </c>
      <c r="L81" s="158">
        <v>8023.7</v>
      </c>
      <c r="M81" s="158">
        <v>7617.4</v>
      </c>
      <c r="N81" s="158">
        <v>7297.5</v>
      </c>
      <c r="O81" s="240">
        <f t="shared" si="23"/>
        <v>54.899999999999636</v>
      </c>
      <c r="P81" s="240">
        <f t="shared" si="23"/>
        <v>-345.40000000000055</v>
      </c>
      <c r="Q81" s="240">
        <f t="shared" si="23"/>
        <v>-666.39999999999964</v>
      </c>
      <c r="R81" s="247"/>
      <c r="S81" s="441" t="s">
        <v>803</v>
      </c>
      <c r="T81" s="251" t="s">
        <v>598</v>
      </c>
      <c r="U81" s="251" t="s">
        <v>598</v>
      </c>
      <c r="V81" s="251" t="s">
        <v>598</v>
      </c>
    </row>
    <row r="82" spans="1:22" ht="30">
      <c r="A82" s="239" t="s">
        <v>365</v>
      </c>
      <c r="B82" s="249" t="s">
        <v>809</v>
      </c>
      <c r="C82" s="239" t="s">
        <v>943</v>
      </c>
      <c r="D82" s="239" t="s">
        <v>807</v>
      </c>
      <c r="E82" s="239" t="s">
        <v>1125</v>
      </c>
      <c r="F82" s="158"/>
      <c r="G82" s="158"/>
      <c r="H82" s="158"/>
      <c r="I82" s="240">
        <v>20</v>
      </c>
      <c r="J82" s="240">
        <v>20</v>
      </c>
      <c r="K82" s="240">
        <v>20</v>
      </c>
      <c r="L82" s="158">
        <v>18</v>
      </c>
      <c r="M82" s="158">
        <v>17.100000000000001</v>
      </c>
      <c r="N82" s="158">
        <v>16.399999999999999</v>
      </c>
      <c r="O82" s="240"/>
      <c r="P82" s="240"/>
      <c r="Q82" s="240"/>
      <c r="R82" s="247"/>
      <c r="S82" s="441" t="s">
        <v>803</v>
      </c>
      <c r="T82" s="251" t="s">
        <v>598</v>
      </c>
      <c r="U82" s="251" t="s">
        <v>598</v>
      </c>
      <c r="V82" s="251" t="s">
        <v>598</v>
      </c>
    </row>
    <row r="83" spans="1:22" ht="41.25" customHeight="1">
      <c r="A83" s="239" t="s">
        <v>94</v>
      </c>
      <c r="B83" s="249" t="s">
        <v>1233</v>
      </c>
      <c r="C83" s="239" t="s">
        <v>943</v>
      </c>
      <c r="D83" s="239" t="s">
        <v>63</v>
      </c>
      <c r="E83" s="239" t="s">
        <v>1232</v>
      </c>
      <c r="F83" s="158"/>
      <c r="G83" s="158"/>
      <c r="H83" s="158"/>
      <c r="I83" s="240"/>
      <c r="J83" s="240"/>
      <c r="K83" s="240"/>
      <c r="L83" s="158">
        <v>25.1</v>
      </c>
      <c r="M83" s="158">
        <v>25.1</v>
      </c>
      <c r="N83" s="158">
        <v>25.1</v>
      </c>
      <c r="O83" s="240"/>
      <c r="P83" s="240"/>
      <c r="Q83" s="240"/>
      <c r="R83" s="247"/>
      <c r="S83" s="441"/>
      <c r="T83" s="251"/>
      <c r="U83" s="251"/>
      <c r="V83" s="251"/>
    </row>
    <row r="84" spans="1:22">
      <c r="A84" s="255" t="s">
        <v>813</v>
      </c>
      <c r="B84" s="147"/>
      <c r="C84" s="147"/>
      <c r="D84" s="147"/>
      <c r="E84" s="147"/>
      <c r="F84" s="147"/>
      <c r="G84" s="147"/>
      <c r="H84" s="147"/>
      <c r="I84" s="147"/>
      <c r="J84" s="147"/>
      <c r="K84" s="147"/>
      <c r="L84" s="147"/>
      <c r="M84" s="147"/>
      <c r="N84" s="147"/>
      <c r="O84" s="147"/>
      <c r="P84" s="147"/>
      <c r="Q84" s="147"/>
      <c r="R84" s="253"/>
      <c r="S84" s="442"/>
      <c r="T84" s="254"/>
      <c r="U84" s="254"/>
      <c r="V84" s="254"/>
    </row>
  </sheetData>
  <mergeCells count="16">
    <mergeCell ref="R50:R55"/>
    <mergeCell ref="T1:V2"/>
    <mergeCell ref="A4:V4"/>
    <mergeCell ref="A5:V5"/>
    <mergeCell ref="A8:A9"/>
    <mergeCell ref="B8:B9"/>
    <mergeCell ref="C8:C9"/>
    <mergeCell ref="D8:D9"/>
    <mergeCell ref="E8:E9"/>
    <mergeCell ref="F8:H8"/>
    <mergeCell ref="I8:K8"/>
    <mergeCell ref="L8:N8"/>
    <mergeCell ref="O8:Q8"/>
    <mergeCell ref="R8:R9"/>
    <mergeCell ref="S8:S9"/>
    <mergeCell ref="T8:V8"/>
  </mergeCells>
  <pageMargins left="0" right="0.11811023622047245" top="0.15748031496062992" bottom="0"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15</vt:i4>
      </vt:variant>
    </vt:vector>
  </HeadingPairs>
  <TitlesOfParts>
    <vt:vector size="29" baseType="lpstr">
      <vt:lpstr>01</vt:lpstr>
      <vt:lpstr>02</vt:lpstr>
      <vt:lpstr>03</vt:lpstr>
      <vt:lpstr> 04 </vt:lpstr>
      <vt:lpstr>05 </vt:lpstr>
      <vt:lpstr>06</vt:lpstr>
      <vt:lpstr>07</vt:lpstr>
      <vt:lpstr>08</vt:lpstr>
      <vt:lpstr>09</vt:lpstr>
      <vt:lpstr>10</vt:lpstr>
      <vt:lpstr>12 </vt:lpstr>
      <vt:lpstr>11</vt:lpstr>
      <vt:lpstr>13</vt:lpstr>
      <vt:lpstr>14</vt:lpstr>
      <vt:lpstr>' 04 '!Заголовки_для_печати</vt:lpstr>
      <vt:lpstr>'01'!Заголовки_для_печати</vt:lpstr>
      <vt:lpstr>'02'!Заголовки_для_печати</vt:lpstr>
      <vt:lpstr>'03'!Заголовки_для_печати</vt:lpstr>
      <vt:lpstr>'05 '!Заголовки_для_печати</vt:lpstr>
      <vt:lpstr>'06'!Заголовки_для_печати</vt:lpstr>
      <vt:lpstr>'07'!Заголовки_для_печати</vt:lpstr>
      <vt:lpstr>'09'!Заголовки_для_печати</vt:lpstr>
      <vt:lpstr>'11'!Заголовки_для_печати</vt:lpstr>
      <vt:lpstr>'12 '!Заголовки_для_печати</vt:lpstr>
      <vt:lpstr>'14'!Заголовки_для_печати</vt:lpstr>
      <vt:lpstr>'02'!Область_печати</vt:lpstr>
      <vt:lpstr>'03'!Область_печати</vt:lpstr>
      <vt:lpstr>'05 '!Область_печати</vt:lpstr>
      <vt:lpstr>'12 '!Область_печати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2019-12-06T06:45:07Z</dcterms:modified>
</cp:coreProperties>
</file>